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266" windowWidth="19575" windowHeight="9435" activeTab="0"/>
  </bookViews>
  <sheets>
    <sheet name="Год" sheetId="1" r:id="rId1"/>
    <sheet name="4 месяца" sheetId="2" r:id="rId2"/>
    <sheet name="8 месяцев" sheetId="3" r:id="rId3"/>
  </sheets>
  <definedNames>
    <definedName name="_xlnm._FilterDatabase" localSheetId="0" hidden="1">'Год'!$B$1:$B$451</definedName>
  </definedNames>
  <calcPr fullCalcOnLoad="1"/>
</workbook>
</file>

<file path=xl/sharedStrings.xml><?xml version="1.0" encoding="utf-8"?>
<sst xmlns="http://schemas.openxmlformats.org/spreadsheetml/2006/main" count="2081" uniqueCount="274">
  <si>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</si>
  <si>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</si>
  <si>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Предоставление гражданам субсидий на оплату жилого помещения и коммунальных услуг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</si>
  <si>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</si>
  <si>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</si>
  <si>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</si>
  <si>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Социальная поддержка и социальное обслуживание населения в части содержания органов местного самоуправления</t>
  </si>
  <si>
    <t>Расходы на реализацию мероприятий по социальной поддержки населения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</si>
  <si>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</si>
  <si>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Расходы на реализацию мероприятий направленных на профилактику безнадзорности правонарушений несовершеннолетних</t>
  </si>
  <si>
    <t>Оказание материальной помощи в страховании имущества гражданам, проживающим в зоне подтопления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</si>
  <si>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</si>
  <si>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Развитие физической культуры и спорта</t>
  </si>
  <si>
    <t>Организация и проведение спортивных мероприятий</t>
  </si>
  <si>
    <t>Развитие волонтерского движения</t>
  </si>
  <si>
    <t>Организация досуга подростков и молодежи</t>
  </si>
  <si>
    <t>Реализация мер в области государственной молодежной политики</t>
  </si>
  <si>
    <t>Трудоустройство молодежи</t>
  </si>
  <si>
    <t>Проведение акарицидной обработки городского парка</t>
  </si>
  <si>
    <t>Ремонт технологического оборудования, зданий и сооружений, запорной арматуры на объектах водоснабжения и водоотведения</t>
  </si>
  <si>
    <t>Обеспечение мероприятий систем теплоснабжения и теплопотребления</t>
  </si>
  <si>
    <t>Мероприятия по благоустройству</t>
  </si>
  <si>
    <t>Уличное освещение</t>
  </si>
  <si>
    <t>Оплата услуг по отлову безнадзорных животных</t>
  </si>
  <si>
    <t>Обеспечение деятельности МКУ ЖКУ</t>
  </si>
  <si>
    <t>Выплата денежной компенсации, приобретение жилых помещений гражданам, имеющим решение суда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</si>
  <si>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</si>
  <si>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программ местного развития и обеспечение занятости для шахтерских городов и поселков</t>
  </si>
  <si>
    <t>Обеспечение деятельности (оказание услуг) подведомственных учреждений</t>
  </si>
  <si>
    <t>Обслуживание муниципального долга</t>
  </si>
  <si>
    <t>подпрограмма "Социальные гарантии в системе образования"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</si>
  <si>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</si>
  <si>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</si>
  <si>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Адресная социальная поддержка участников образовательного процесса</t>
  </si>
  <si>
    <t>Организация круглогодичного отдыха, оздоровления и занятости обучающихся</t>
  </si>
  <si>
    <t>Обеспечение деятельности (оказание услуг) прочих учреждений</t>
  </si>
  <si>
    <t>подпрограмма "Реализация муниципальной политики"</t>
  </si>
  <si>
    <t xml:space="preserve">подпрограмма "Организация отдыха,оздоровления и занятости детей и подростков в каникулярное время" </t>
  </si>
  <si>
    <t xml:space="preserve">Муниципальная программа "Развитие культуры Осинниковского городского округа" </t>
  </si>
  <si>
    <t xml:space="preserve">Муниципальная программа "Охрана окружающей среды Осинниковского городского округа" </t>
  </si>
  <si>
    <t>Муниципальная программа "Национальная экономика,жилищно-коммунальное и дорожное хозяйство, энергосбережение и повышение энергоэффективности Осинниковского городского округа"</t>
  </si>
  <si>
    <t>подпрограмма "Модернизация объектов водоснабжения и водоотведения</t>
  </si>
  <si>
    <t>подпрограмма "Энергосбережение и повышение энергоэффективности"</t>
  </si>
  <si>
    <t xml:space="preserve"> подпрограммы "Благоустройство" </t>
  </si>
  <si>
    <t xml:space="preserve">подпрограмма "Дорожное хозяйство" </t>
  </si>
  <si>
    <t>подпрограмма "Субсидии юридическим лицам(кроме некоммерческих организаций),индивидуальным предпринимателям,физическим лицам"</t>
  </si>
  <si>
    <t>подпрограмма "Реализация государственной (муниципальной) политики"</t>
  </si>
  <si>
    <t>подпрограмма "Жилищное хозяйство"</t>
  </si>
  <si>
    <t xml:space="preserve">Отчет </t>
  </si>
  <si>
    <t>об использовании ассигнований бюджета Осинниковского городского округа</t>
  </si>
  <si>
    <t>Всего</t>
  </si>
  <si>
    <t>бюджет Осинниковского городского округа</t>
  </si>
  <si>
    <t>федеральный бюджет</t>
  </si>
  <si>
    <t>Расходы на осуществление мер по повышению безопасности дорожного движения</t>
  </si>
  <si>
    <t>областной бюджет</t>
  </si>
  <si>
    <t>Организация и проведение мероприятий, направленных на работу с одаренными детьми</t>
  </si>
  <si>
    <t>иные не запрещенные законодательством источники(Обл.,Фед.бюджет)</t>
  </si>
  <si>
    <t>к Приложению о муниципальных</t>
  </si>
  <si>
    <t xml:space="preserve">программах Осинниковского </t>
  </si>
  <si>
    <t>городского округа</t>
  </si>
  <si>
    <t xml:space="preserve">Источник финансирования  
</t>
  </si>
  <si>
    <t>Муниципальная программа «Антитеррор в Осинниковском городском округе»</t>
  </si>
  <si>
    <t xml:space="preserve">Меры по совершенствованию антитеррористической пропаганды </t>
  </si>
  <si>
    <t>Меры по развитию наиболее эффективных направлений деятельности по повышению антитеррористической защищенности</t>
  </si>
  <si>
    <t xml:space="preserve">Меры по укреплению технической оснащенности объектов особой важности, повышенной опасности, жизнеобеспечения и мест массового пребывания граждан </t>
  </si>
  <si>
    <t xml:space="preserve">Муниципальная программ "Борьба с преступностью, профилактика правонарушений и обеспечение безопасности дорожного движения в Осинниковском городском округе" </t>
  </si>
  <si>
    <t xml:space="preserve">Расходы на осуществление мер антинаркотической направленности </t>
  </si>
  <si>
    <t>Расходы на осуществление охраны общественного порядка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</si>
  <si>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</si>
  <si>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Популяризация предпринимательской деятельности</t>
  </si>
  <si>
    <t>Муниципальная программа "Поддержка и развитие СМИ"</t>
  </si>
  <si>
    <t xml:space="preserve">Обеспечение деятельности телерадиокомпании для оказания муниципальных услуг в сфере информирования населения </t>
  </si>
  <si>
    <t xml:space="preserve">Услуги по печати </t>
  </si>
  <si>
    <t xml:space="preserve">Приобретение контента телевизионного вещания </t>
  </si>
  <si>
    <t>Муниципальная программа "Развитие системы образования Осинниковского городского округа"</t>
  </si>
  <si>
    <t>подпрограмма "Развитие дошкольного,общего образования и дополнительного образования детей"</t>
  </si>
  <si>
    <t xml:space="preserve">Организация и проведение мероприятий, направленных на патриотическое воспитание граждан </t>
  </si>
  <si>
    <t>Оплата расходов по аутсорсингу</t>
  </si>
  <si>
    <t>Муниципальная программа "Социальная поддержка населения Осинниковского городского округа"</t>
  </si>
  <si>
    <t>подпрограмма "Реализация мер социальной поддержки отдельных категорий граждан"</t>
  </si>
  <si>
    <t>подпрограмма "Развитие социального обслуживания населения"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</si>
  <si>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</si>
  <si>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подпрограмма "Повышение эффективности управления системой социальной поддержки и социального обслуживания"</t>
  </si>
  <si>
    <t>подпрограмма "Реализация дополнительных мероприятий, направленных на повышение качества жизни населения"</t>
  </si>
  <si>
    <t>Муниципальная программа "Физическая культура, спорт и молодежная политика"</t>
  </si>
  <si>
    <t>подпрограмма "Физическая культура и спорт"</t>
  </si>
  <si>
    <t xml:space="preserve">подпрограмма "Молодежная политика" </t>
  </si>
  <si>
    <t>Воспитание гражданственности и патриотизма молодежи</t>
  </si>
  <si>
    <t>ИТОГО</t>
  </si>
  <si>
    <t>Обеспечение деятельности по содержанию организаций для детей-сирот и детей, оставшихся без попечения родителей</t>
  </si>
  <si>
    <t>Муниципальная программа "Жилище на территории Осинниковского городского округа"</t>
  </si>
  <si>
    <t xml:space="preserve"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 </t>
  </si>
  <si>
    <t>Совершенствование системы связи и оповещения населения</t>
  </si>
  <si>
    <t>Меры по безопасному пропуску ледохода и паводковых вод</t>
  </si>
  <si>
    <t>Муниципальная программа "Управление муниципальными финансами Осинниковского городского округа"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</si>
  <si>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</si>
  <si>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Предоставление бесплатного проезда отдельным категориям обучающихся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</si>
  <si>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</si>
  <si>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Компенсация расходов по оплате жилого помещения и коммунальных услуг отдельным категориям граждан</t>
  </si>
  <si>
    <t>Обеспечение мероприятий по капитальному ремонту в многоквартирных домах в части муниципального жилищного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</si>
  <si>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</si>
  <si>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иные не запрещенные законодательством источники(Обл.,Фед.бюджет, средства ФГКЖКХ)</t>
  </si>
  <si>
    <t>Приложение № 5</t>
  </si>
  <si>
    <t>Обеспечение деятельности (оказание услуг) учреждений дополнительного образования</t>
  </si>
  <si>
    <t>Ремонт образовательных учреждений</t>
  </si>
  <si>
    <t>Организация и проведение мероприятий, направленных на развитие системы образования</t>
  </si>
  <si>
    <t>Организация и проведение мероприятий, направленных на профилактику безнадзорности и правонарушений несовершеннолетних</t>
  </si>
  <si>
    <t>Обеспечение деятельности (оказание услуг)детских дошкольный учреждений</t>
  </si>
  <si>
    <t>Обеспечение деятельности (оказание услуг) общеобразовательных учреждений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</si>
  <si>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</si>
  <si>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Расходы учреждений для детей-сирот и детей, оставшихся без попечения родителей за счет средств местного бюджета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</si>
  <si>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</si>
  <si>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</si>
  <si>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</si>
  <si>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Развитие единого образовательного пространства, повышение качества образовательных результатов</t>
  </si>
  <si>
    <t>Стипендия студентам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</si>
  <si>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</si>
  <si>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</si>
  <si>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</si>
  <si>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Социальная поддержка работников образовательных организаций и участников образовательного процесса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</si>
  <si>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</si>
  <si>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</si>
  <si>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</si>
  <si>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Расходы на организацию круглогодичного отдыха, оздоровления и занятости обучающихся</t>
  </si>
  <si>
    <t>Расходы на организацию и проведение городских мероприятий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</si>
  <si>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</si>
  <si>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Создание условий для сохранения и развития культуры всех наций и народностей</t>
  </si>
  <si>
    <t>Обеспечение деятельности (оказание услуг) музеев и постоянных выставок</t>
  </si>
  <si>
    <t>Обеспечение деятельности (оказание услуг) библиотек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</si>
  <si>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</si>
  <si>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Пенсии за выслугу лет лицам, замещавшим муниципальные должности и должности муниципальной службы</t>
  </si>
  <si>
    <t>Денежная выплата гражданам имеющим почетное звание "Почетный гражданин г.Осинники"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</si>
  <si>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</si>
  <si>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</si>
  <si>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</si>
  <si>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</si>
  <si>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</si>
  <si>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</si>
  <si>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</si>
  <si>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</si>
  <si>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</si>
  <si>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</si>
  <si>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</si>
  <si>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средства фонда государственной корпорации ЖКХ</t>
  </si>
  <si>
    <t xml:space="preserve">бюджет Осинниковского городского округа </t>
  </si>
  <si>
    <t>Вакцинопрофилактика населения Осинниковского городского округа</t>
  </si>
  <si>
    <t>Проведение государственного кадастрового учета земельных участков</t>
  </si>
  <si>
    <t>Приобретение муниципальной собственности</t>
  </si>
  <si>
    <t>Содержание и обслуживание казны муниципального образования</t>
  </si>
  <si>
    <t>Муниципальная программа "Управление муниципальным имуществом и земельными участками  Осинниковского городского округа"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</si>
  <si>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 97-ОЗ "О мерах социальной поддержки по оплате проезда отдельными видами транспорта"</t>
  </si>
  <si>
    <t>Выплата единовременного поощрения в связи с выходом на пенсию муниципального служащего</t>
  </si>
  <si>
    <t>Благоустройство и содержание мест захоронений</t>
  </si>
  <si>
    <t>Капитальный ремонт объектов системы водоснабжения и водоотведения</t>
  </si>
  <si>
    <t>Муниципальная программа "Формирование современной городской среды на территории муниципального образования - Осинниковский городской округ"</t>
  </si>
  <si>
    <t>Поддержка муниципальных программ формирования современной городской среды (благоустройство дворовых территорий)</t>
  </si>
  <si>
    <t>Поддержка муниципальных программ формирования современной городской среды (благоустройство общественных территорий)</t>
  </si>
  <si>
    <t>Реализация мероприятий по обеспечению жильем молодых семей</t>
  </si>
  <si>
    <t>Обеспечение жильем социальных категорий граждан, установленных законодательством Кемеровской области</t>
  </si>
  <si>
    <t>Мероприятия связанные со строительством дошкольного образовательного учреждения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</si>
  <si>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</si>
  <si>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"Лучшая приемная семья")</t>
  </si>
  <si>
    <t>Расходы на организацию круглогодичного отдыха, оздоровления и занятости обучающихся за счет безвозмездных поступлений</t>
  </si>
  <si>
    <t>Ремонт зданий и помещений учреждений управления культуры</t>
  </si>
  <si>
    <t>Развитие и пополнение материально-технической базы</t>
  </si>
  <si>
    <t>средства юридических и физических лиц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</si>
  <si>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 же до сельских населенных пунктов, не имеющих круглогодичной связи с сетью автомобильных дорог общего пользования</t>
  </si>
  <si>
    <t>Расходы учреждений для детей-сирот и детей, оставшихся без попечения родителей за счет безвозмездных поступлений</t>
  </si>
  <si>
    <t>Обеспечение деятельности (оказание услуг) МБУ "ЦО УК"</t>
  </si>
  <si>
    <t>Вакцинопрофилактика населения Осинниковского городского  округа</t>
  </si>
  <si>
    <t>Организация круглогодичного отдыха, оздоровления и занятости обучающихся за счет бюджета</t>
  </si>
  <si>
    <t>Организация круглогодичного отдыха, оздоровления и занятости обучающихся за счет безвозмездных поступлений</t>
  </si>
  <si>
    <t>Создание и функционирование комиссий по делам несовершеннолетних и защите их прав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</si>
  <si>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состаяния жилых помещений, а так же осуществление контроля и распоряжением ими</t>
  </si>
  <si>
    <t xml:space="preserve">Реализация проектов инициативного бюджетирования "Твой Кузбасс-твоя инициатива" </t>
  </si>
  <si>
    <t>Мероприятия в сфере дорожного хозяйства (ремонт и содержание автомобильных дорог общего пользования местного значения)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</si>
  <si>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</si>
  <si>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Возмещение затрат по управлению специализированным жилым фондом (маневременный жилфонд)</t>
  </si>
  <si>
    <t>Поддержка жилищно-коммунального хозяйства</t>
  </si>
  <si>
    <t>Реализация программ формирования современной городской среды (средства собственников жилья)</t>
  </si>
  <si>
    <t>Финансирование расходов, связанных с проведением ликвидации, расчетами с кредиторами АУ "Редакция газеты"Время и жизнь"</t>
  </si>
  <si>
    <t>Обеспечение персонифицированного финансирования дополнительного образования детей</t>
  </si>
  <si>
    <t>Строительство, реконструкция и капитальный ремонт образовательных организаций (субсидии муниципальным образованиям)</t>
  </si>
  <si>
    <t>Обустройство пляжей и мест массового отдыха у воды</t>
  </si>
  <si>
    <t>Государственнная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</si>
  <si>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Укрепление материально-технической базы организаций отдыха детей и их оздоровления</t>
  </si>
  <si>
    <t>Осуществление ежемесячной выплаты в связи с рождением усыновлением первого ребенка</t>
  </si>
  <si>
    <t>Региональный проект "Формирование комфортной городской среды"</t>
  </si>
  <si>
    <t>Региональные проекты</t>
  </si>
  <si>
    <t>Региональный проект "Акселерация субъектов малого и среднего предпринимательства"</t>
  </si>
  <si>
    <t>Региональный проект "Финансовая поддержка семей при рождении детей"</t>
  </si>
  <si>
    <t>Региональный проект "Обеспечение устойчивого сокращения непригодного для проживания жилищного фонда"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</si>
  <si>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</si>
  <si>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</si>
  <si>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Возмещение недополученных доходов  организации, предоставляющей населению бытовые услуги по помывке населения по тарифам, не обеспечивающим возмещение издержек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</si>
  <si>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</si>
  <si>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Расходы (тыс. руб.)</t>
  </si>
  <si>
    <t>Наименование муниципальной программы,подпрограммы, основного мероприятия/ регионального проекта, мероприятия</t>
  </si>
  <si>
    <t>Обеспечение двухразовым бесплатным питанием обучающихся  с ограниченными возможностями здоровья в муниципальных общеобразовательных организациях</t>
  </si>
  <si>
    <t>Капитальный ремонт МБОУ "Средняя общеобразовательная школа №16"</t>
  </si>
  <si>
    <t>Выплата ежемесячного денежного вознаграждения за классное руководство педагогическим работникам государсвтенных и муниципальных общеобразовательных организаций</t>
  </si>
  <si>
    <t>Профилактика безнадзорности и правонарушений несовершеннолетних</t>
  </si>
  <si>
    <t>Реализация мероприятий государсвтенной программы Российской Федерации "Доступная среда"</t>
  </si>
  <si>
    <t xml:space="preserve"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</t>
  </si>
  <si>
    <t>Осуществление назначения и выплаты единовременного государсвтенного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</si>
  <si>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Дополнительное возмещение на захаронение неопознанных и невостребованных умерших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</si>
  <si>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"О предоставлении компенсации раходов на уплату взноса на капитальный ремонт общего имущества в многоквартирном доме отдельным категориям граждан"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</si>
  <si>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</si>
  <si>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 полномочия по  социальному обслуживанию граждан пожилого возраста и инвалидов, граждан, находящихся в трудной жизненной ситуации, в государсвтенных организациях социального обслуживания</t>
  </si>
  <si>
    <t>Реализация проектов инициативного бюджетирования "Твой Кузбасс - твоя инициатива"</t>
  </si>
  <si>
    <t>Организация и проведение Дней защиты от экологической  опасности</t>
  </si>
  <si>
    <t>Организация регулярных перевозок пассажиров и багажа по регулируемым тарифам городским электротранспортом</t>
  </si>
  <si>
    <t>Организация мероприятий при осуществлении деятельности по обращению с животными без владельцев</t>
  </si>
  <si>
    <t xml:space="preserve"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 </t>
  </si>
  <si>
    <t>Обеспечение противопожарной безопасности</t>
  </si>
  <si>
    <t>Резервный фонд администрации Осинниковского городского округа</t>
  </si>
  <si>
    <t>Муниципальная программа "Развитие туризма на территории муниципального образования - Осинниковский городской округ"</t>
  </si>
  <si>
    <t>Нормативно-правовое и организационно-методическое обеспечение в сфере развития туризма</t>
  </si>
  <si>
    <t>Организация и проведение мероприятий туристической направленности</t>
  </si>
  <si>
    <t>Организация туристических маршрутов (экскурсий)</t>
  </si>
  <si>
    <t>Изготовление презентационных материалов о туристических возможностях округа</t>
  </si>
  <si>
    <t>Обеспечение жильем отдельных категорий граждан, установленных Федеральным законом от 12 января 1995 года № 5-ФЗ "О ветеранах"</t>
  </si>
  <si>
    <t>Расходы на реализацию мероприятий в рамках ФЗ от 21.07.2007 г. №185-ФЗ "О фонде содействия реформированию жилищно-коммунального хозяйства"</t>
  </si>
  <si>
    <t>Меры по совершенствованию антиэкстремистской пропаганды</t>
  </si>
  <si>
    <t>Обеспечение мероприятий, связанных с оползнем грунта по ул. Революции в Микрорайоне №6 гаражного комплекса</t>
  </si>
  <si>
    <t>Государственная поддержка малого и среднего предпринимательства в Кемеровской области - Кузбасс (реализация отдельных мероприятий муниципальных программ развития субъектов малого и среднего  предпринимательства)</t>
  </si>
  <si>
    <t>Выполнение работ по ремонту асфальтобетонного покрытия территории шк. 33 п. Тайжина</t>
  </si>
  <si>
    <t>Устройство многофункциональных спортивных площадок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</si>
  <si>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</si>
  <si>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Благоустройство прилегающей территории МБОУ "Средняя общеобразовательная школа №16"</t>
  </si>
  <si>
    <t>Подготовительные работы, связанные с реализацией мероприятий программы формирования современной городской среды</t>
  </si>
  <si>
    <t>Расходы на содержание и обеспечение деятельности (оказание услуг) МКУ "КУМИ"</t>
  </si>
  <si>
    <t>Расходы на управление услугами в области жилищного хозяйства</t>
  </si>
  <si>
    <t>Этнокультурное развитие наций и народностей Кемеровской области-Кузбасса</t>
  </si>
  <si>
    <t>Сводная бюджетная роспись,  уточн. план  2021 год</t>
  </si>
  <si>
    <t>Меры по снижению масштабов злоупотребления алкотольной продукции и профилактики алкоголизма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</si>
  <si>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</si>
  <si>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Региональный проект "Успех каждого ребенка"</t>
  </si>
  <si>
    <t>Поддержка экономического и социального развития коренных малочисленных народов Севера, Сибири и Дальнего Востока</t>
  </si>
  <si>
    <t>Создание  системы долговременного ухода за гражданами пожилого возраста и инвалидами</t>
  </si>
  <si>
    <t>Региональный проект "Старшее поколение"</t>
  </si>
  <si>
    <t>Обеспечение деятельности (оказание услуг) спортивных учреждений (МБФСУ "СШ бокса им. В.Х. Тараш")</t>
  </si>
  <si>
    <t>Обеспечение деятельности (оказание услуг) спортивных учреждений (МБФСУ "СШ футбола")</t>
  </si>
  <si>
    <t>Обеспечение деятельности (оказание услуг) спортивных учреждений (МБУ "Тайжина")</t>
  </si>
  <si>
    <t>Обеспечение деятельности (оказание услуг) спортивных учреждений ( МАУ СК "ШАХТЕР")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</si>
  <si>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</si>
  <si>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</si>
  <si>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</si>
  <si>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</si>
  <si>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</si>
  <si>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Создание городкого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</si>
  <si>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</si>
  <si>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Подготовительные работы, связанные с благоустройством спортивной площадки (текущий ремонт) - хоккейная коробка, расположенная по адресу: г. Осинники, ул. Магистральный проезд 1</t>
  </si>
  <si>
    <t>Ремонт и оснащение нового помещения по адресу: п. Тайжина, ул. Коммунистическая, д. 41, пом. 21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</si>
  <si>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резерного фонда Правительства Российской Федерации</t>
  </si>
  <si>
    <t>Поддержка деятельности волонтерского (добровольческого) движения в культуре</t>
  </si>
  <si>
    <t>Обеспечение деятельности (оказание услуг) домов и дворцов культуры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</si>
  <si>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
</t>
  </si>
  <si>
    <t>инициативные платежи</t>
  </si>
  <si>
    <t>Санитарная очистка территории и транспортировка отходов от места их накопления до места утилизации</t>
  </si>
  <si>
    <t>на реализацию муниципальных программ за  2021 год</t>
  </si>
  <si>
    <t>кассовое исполнение за  2021 год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</si>
  <si>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</si>
  <si>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местный бюджет</t>
  </si>
  <si>
    <t>Возмещение недополученных доходов  организации, предоставляющей населению услуги водоснабжения и водоотвдения по тарифам, не обеспечивающим возмещение издержек</t>
  </si>
  <si>
    <t>Сводная бюджетная роспись,  уточн. план  май-декабрь 2021 года</t>
  </si>
  <si>
    <t>кассовое исполнение за  май-декабрь 2021 года</t>
  </si>
  <si>
    <t>на реализацию муниципальных программ за май-декабрь  2021 год</t>
  </si>
  <si>
    <t>Сводная бюджетная роспись,  уточн. план  январь-апрель 2021 года</t>
  </si>
  <si>
    <t>на реализацию муниципальных программ за январь-апрель 2021 года</t>
  </si>
  <si>
    <t>кассовое исполнение за  январь-апрель 2021 года</t>
  </si>
  <si>
    <t>к отчету о реализации муниципальных</t>
  </si>
  <si>
    <t xml:space="preserve">программ Осинниковского </t>
  </si>
  <si>
    <t>Приложение №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</si>
</sst>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##,000"/>
    <numFmt numFmtId="173" formatCode="#\ ##0.00"/>
    <numFmt numFmtId="174" formatCode="#,##0.000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175" fontId="3" fillId="0" borderId="10" xfId="0" applyNumberFormat="1" applyFont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2" fontId="3" fillId="32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75" fontId="2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175" fontId="3" fillId="0" borderId="10" xfId="0" applyNumberFormat="1" applyFont="1" applyBorder="1" applyAlignment="1">
      <alignment horizontal="right"/>
    </xf>
    <xf numFmtId="175" fontId="3" fillId="34" borderId="10" xfId="0" applyNumberFormat="1" applyFont="1" applyFill="1" applyBorder="1" applyAlignment="1">
      <alignment horizontal="right"/>
    </xf>
    <xf numFmtId="175" fontId="3" fillId="4" borderId="10" xfId="0" applyNumberFormat="1" applyFont="1" applyFill="1" applyBorder="1" applyAlignment="1">
      <alignment horizontal="right" vertical="center" wrapText="1"/>
    </xf>
    <xf numFmtId="175" fontId="4" fillId="0" borderId="10" xfId="60" applyNumberFormat="1" applyFont="1" applyBorder="1" applyAlignment="1">
      <alignment horizontal="right" wrapText="1"/>
      <protection/>
    </xf>
    <xf numFmtId="175" fontId="4" fillId="0" borderId="10" xfId="0" applyNumberFormat="1" applyFont="1" applyBorder="1" applyAlignment="1">
      <alignment horizontal="right" wrapText="1"/>
    </xf>
    <xf numFmtId="175" fontId="3" fillId="4" borderId="10" xfId="0" applyNumberFormat="1" applyFont="1" applyFill="1" applyBorder="1" applyAlignment="1">
      <alignment vertical="center" wrapText="1"/>
    </xf>
    <xf numFmtId="175" fontId="3" fillId="4" borderId="11" xfId="0" applyNumberFormat="1" applyFont="1" applyFill="1" applyBorder="1" applyAlignment="1">
      <alignment horizontal="right" vertical="center" wrapText="1"/>
    </xf>
    <xf numFmtId="175" fontId="2" fillId="0" borderId="10" xfId="0" applyNumberFormat="1" applyFont="1" applyBorder="1" applyAlignment="1">
      <alignment horizontal="right" wrapText="1"/>
    </xf>
    <xf numFmtId="175" fontId="3" fillId="32" borderId="10" xfId="0" applyNumberFormat="1" applyFont="1" applyFill="1" applyBorder="1" applyAlignment="1">
      <alignment horizontal="right" vertical="center" wrapText="1"/>
    </xf>
    <xf numFmtId="175" fontId="4" fillId="34" borderId="10" xfId="0" applyNumberFormat="1" applyFont="1" applyFill="1" applyBorder="1" applyAlignment="1">
      <alignment horizontal="right" wrapText="1"/>
    </xf>
    <xf numFmtId="175" fontId="4" fillId="0" borderId="10" xfId="0" applyNumberFormat="1" applyFont="1" applyFill="1" applyBorder="1" applyAlignment="1">
      <alignment horizontal="right" wrapText="1"/>
    </xf>
    <xf numFmtId="175" fontId="2" fillId="34" borderId="10" xfId="0" applyNumberFormat="1" applyFont="1" applyFill="1" applyBorder="1" applyAlignment="1">
      <alignment horizontal="right" vertical="center" wrapText="1"/>
    </xf>
    <xf numFmtId="175" fontId="2" fillId="34" borderId="11" xfId="0" applyNumberFormat="1" applyFont="1" applyFill="1" applyBorder="1" applyAlignment="1">
      <alignment horizontal="right" vertical="center" wrapText="1"/>
    </xf>
    <xf numFmtId="175" fontId="3" fillId="4" borderId="11" xfId="0" applyNumberFormat="1" applyFont="1" applyFill="1" applyBorder="1" applyAlignment="1">
      <alignment vertical="center" wrapText="1"/>
    </xf>
    <xf numFmtId="175" fontId="2" fillId="34" borderId="10" xfId="0" applyNumberFormat="1" applyFont="1" applyFill="1" applyBorder="1" applyAlignment="1">
      <alignment horizontal="right" wrapText="1"/>
    </xf>
    <xf numFmtId="2" fontId="3" fillId="6" borderId="10" xfId="0" applyNumberFormat="1" applyFont="1" applyFill="1" applyBorder="1" applyAlignment="1">
      <alignment vertical="center" wrapText="1"/>
    </xf>
    <xf numFmtId="175" fontId="3" fillId="6" borderId="10" xfId="0" applyNumberFormat="1" applyFont="1" applyFill="1" applyBorder="1" applyAlignment="1">
      <alignment horizontal="right" vertical="center" wrapText="1"/>
    </xf>
    <xf numFmtId="175" fontId="3" fillId="6" borderId="11" xfId="0" applyNumberFormat="1" applyFont="1" applyFill="1" applyBorder="1" applyAlignment="1">
      <alignment horizontal="right" vertical="center" wrapText="1"/>
    </xf>
    <xf numFmtId="175" fontId="3" fillId="6" borderId="10" xfId="0" applyNumberFormat="1" applyFont="1" applyFill="1" applyBorder="1" applyAlignment="1">
      <alignment horizontal="right"/>
    </xf>
    <xf numFmtId="175" fontId="2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5" fontId="4" fillId="6" borderId="10" xfId="0" applyNumberFormat="1" applyFont="1" applyFill="1" applyBorder="1" applyAlignment="1">
      <alignment horizontal="right" wrapText="1"/>
    </xf>
    <xf numFmtId="175" fontId="6" fillId="6" borderId="1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175" fontId="3" fillId="34" borderId="10" xfId="0" applyNumberFormat="1" applyFont="1" applyFill="1" applyBorder="1" applyAlignment="1">
      <alignment horizontal="right" vertical="center" wrapText="1"/>
    </xf>
    <xf numFmtId="2" fontId="2" fillId="34" borderId="10" xfId="0" applyNumberFormat="1" applyFont="1" applyFill="1" applyBorder="1" applyAlignment="1">
      <alignment vertical="center" wrapText="1"/>
    </xf>
    <xf numFmtId="175" fontId="3" fillId="6" borderId="10" xfId="0" applyNumberFormat="1" applyFont="1" applyFill="1" applyBorder="1" applyAlignment="1">
      <alignment horizontal="left" vertical="center" wrapText="1"/>
    </xf>
    <xf numFmtId="175" fontId="45" fillId="0" borderId="10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6" borderId="10" xfId="0" applyFont="1" applyFill="1" applyBorder="1" applyAlignment="1">
      <alignment/>
    </xf>
    <xf numFmtId="175" fontId="3" fillId="6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81" fontId="2" fillId="34" borderId="11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35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4" borderId="0" xfId="0" applyNumberFormat="1" applyFont="1" applyFill="1" applyBorder="1" applyAlignment="1">
      <alignment/>
    </xf>
    <xf numFmtId="4" fontId="2" fillId="36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4" fontId="2" fillId="36" borderId="0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75" fontId="2" fillId="34" borderId="0" xfId="0" applyNumberFormat="1" applyFont="1" applyFill="1" applyAlignment="1">
      <alignment/>
    </xf>
    <xf numFmtId="175" fontId="2" fillId="34" borderId="0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49" fontId="3" fillId="4" borderId="10" xfId="0" applyNumberFormat="1" applyFont="1" applyFill="1" applyBorder="1" applyAlignment="1">
      <alignment horizontal="center" wrapText="1"/>
    </xf>
    <xf numFmtId="2" fontId="2" fillId="34" borderId="0" xfId="0" applyNumberFormat="1" applyFont="1" applyFill="1" applyAlignment="1">
      <alignment/>
    </xf>
    <xf numFmtId="0" fontId="4" fillId="34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5" fontId="3" fillId="4" borderId="12" xfId="0" applyNumberFormat="1" applyFont="1" applyFill="1" applyBorder="1" applyAlignment="1">
      <alignment horizontal="right" vertical="center" wrapText="1"/>
    </xf>
    <xf numFmtId="175" fontId="3" fillId="4" borderId="11" xfId="0" applyNumberFormat="1" applyFont="1" applyFill="1" applyBorder="1" applyAlignment="1">
      <alignment horizontal="right" vertical="center" wrapText="1"/>
    </xf>
    <xf numFmtId="49" fontId="3" fillId="32" borderId="12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4" borderId="12" xfId="0" applyNumberFormat="1" applyFont="1" applyFill="1" applyBorder="1" applyAlignment="1">
      <alignment horizontal="center" wrapText="1"/>
    </xf>
    <xf numFmtId="49" fontId="3" fillId="4" borderId="13" xfId="0" applyNumberFormat="1" applyFont="1" applyFill="1" applyBorder="1" applyAlignment="1">
      <alignment horizontal="center" wrapText="1"/>
    </xf>
    <xf numFmtId="49" fontId="3" fillId="4" borderId="11" xfId="0" applyNumberFormat="1" applyFont="1" applyFill="1" applyBorder="1" applyAlignment="1">
      <alignment horizont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2" fontId="3" fillId="4" borderId="12" xfId="0" applyNumberFormat="1" applyFont="1" applyFill="1" applyBorder="1" applyAlignment="1">
      <alignment horizontal="left" vertical="center" wrapText="1"/>
    </xf>
    <xf numFmtId="2" fontId="3" fillId="4" borderId="11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49" fontId="3" fillId="4" borderId="10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49" fontId="3" fillId="6" borderId="12" xfId="0" applyNumberFormat="1" applyFont="1" applyFill="1" applyBorder="1" applyAlignment="1">
      <alignment horizontal="center" wrapText="1"/>
    </xf>
    <xf numFmtId="49" fontId="3" fillId="6" borderId="13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4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wrapText="1"/>
    </xf>
    <xf numFmtId="2" fontId="3" fillId="4" borderId="13" xfId="0" applyNumberFormat="1" applyFont="1" applyFill="1" applyBorder="1" applyAlignment="1">
      <alignment horizontal="center" wrapText="1"/>
    </xf>
    <xf numFmtId="2" fontId="3" fillId="4" borderId="11" xfId="0" applyNumberFormat="1" applyFont="1" applyFill="1" applyBorder="1" applyAlignment="1">
      <alignment horizontal="center" wrapText="1"/>
    </xf>
    <xf numFmtId="175" fontId="3" fillId="4" borderId="12" xfId="0" applyNumberFormat="1" applyFont="1" applyFill="1" applyBorder="1" applyAlignment="1">
      <alignment vertical="center" wrapText="1"/>
    </xf>
    <xf numFmtId="175" fontId="3" fillId="4" borderId="11" xfId="0" applyNumberFormat="1" applyFont="1" applyFill="1" applyBorder="1" applyAlignment="1">
      <alignment vertical="center" wrapText="1"/>
    </xf>
    <xf numFmtId="175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1"/>
  <sheetViews>
    <sheetView tabSelected="1" zoomScale="115" zoomScaleNormal="115" zoomScalePageLayoutView="0" workbookViewId="0" topLeftCell="A1">
      <selection activeCell="J12" sqref="J12"/>
    </sheetView>
  </sheetViews>
  <sheetFormatPr defaultColWidth="8.875" defaultRowHeight="12.75"/>
  <cols>
    <col min="1" max="1" width="46.625" style="44" customWidth="1"/>
    <col min="2" max="2" width="28.75390625" style="1" customWidth="1"/>
    <col min="3" max="3" width="15.25390625" style="8" customWidth="1"/>
    <col min="4" max="4" width="16.375" style="8" customWidth="1"/>
    <col min="5" max="5" width="21.00390625" style="58" hidden="1" customWidth="1"/>
    <col min="6" max="6" width="16.375" style="58" hidden="1" customWidth="1"/>
    <col min="7" max="7" width="13.00390625" style="58" hidden="1" customWidth="1"/>
    <col min="8" max="8" width="12.625" style="58" hidden="1" customWidth="1"/>
    <col min="9" max="9" width="20.25390625" style="11" customWidth="1"/>
    <col min="10" max="10" width="10.875" style="11" customWidth="1"/>
    <col min="11" max="11" width="13.75390625" style="11" customWidth="1"/>
    <col min="12" max="34" width="8.875" style="11" customWidth="1"/>
    <col min="35" max="16384" width="8.875" style="1" customWidth="1"/>
  </cols>
  <sheetData>
    <row r="1" spans="1:4" ht="12.75">
      <c r="A1" s="41"/>
      <c r="B1" s="111" t="s">
        <v>273</v>
      </c>
      <c r="C1" s="111"/>
      <c r="D1" s="111"/>
    </row>
    <row r="2" spans="1:4" ht="12.75">
      <c r="A2" s="41"/>
      <c r="B2" s="111" t="s">
        <v>271</v>
      </c>
      <c r="C2" s="111"/>
      <c r="D2" s="111"/>
    </row>
    <row r="3" spans="1:4" ht="12.75">
      <c r="A3" s="41"/>
      <c r="B3" s="111" t="s">
        <v>272</v>
      </c>
      <c r="C3" s="111"/>
      <c r="D3" s="111"/>
    </row>
    <row r="4" spans="2:4" ht="11.25" customHeight="1">
      <c r="B4" s="111" t="s">
        <v>59</v>
      </c>
      <c r="C4" s="111"/>
      <c r="D4" s="111"/>
    </row>
    <row r="5" ht="5.25" customHeight="1"/>
    <row r="6" ht="4.5" customHeight="1"/>
    <row r="7" spans="1:4" ht="12.75">
      <c r="A7" s="118" t="s">
        <v>48</v>
      </c>
      <c r="B7" s="118"/>
      <c r="C7" s="118"/>
      <c r="D7" s="118"/>
    </row>
    <row r="8" spans="1:4" ht="12.75">
      <c r="A8" s="118" t="s">
        <v>49</v>
      </c>
      <c r="B8" s="118"/>
      <c r="C8" s="118"/>
      <c r="D8" s="118"/>
    </row>
    <row r="9" spans="1:11" ht="12.75">
      <c r="A9" s="118" t="s">
        <v>260</v>
      </c>
      <c r="B9" s="118"/>
      <c r="C9" s="118"/>
      <c r="D9" s="118"/>
      <c r="K9" s="66"/>
    </row>
    <row r="10" ht="0.75" customHeight="1"/>
    <row r="11" spans="1:4" ht="12.75">
      <c r="A11" s="116" t="s">
        <v>197</v>
      </c>
      <c r="B11" s="119" t="s">
        <v>60</v>
      </c>
      <c r="C11" s="117" t="s">
        <v>196</v>
      </c>
      <c r="D11" s="117"/>
    </row>
    <row r="12" spans="1:11" ht="51" customHeight="1">
      <c r="A12" s="116"/>
      <c r="B12" s="119"/>
      <c r="C12" s="2" t="s">
        <v>234</v>
      </c>
      <c r="D12" s="2" t="s">
        <v>261</v>
      </c>
      <c r="E12" s="58">
        <v>1989647362.21</v>
      </c>
      <c r="F12" s="58">
        <v>1885818903.82</v>
      </c>
      <c r="I12" s="71"/>
      <c r="J12" s="71"/>
      <c r="K12" s="66"/>
    </row>
    <row r="13" spans="1:11" ht="12.75">
      <c r="A13" s="45" t="s">
        <v>88</v>
      </c>
      <c r="B13" s="3"/>
      <c r="C13" s="12">
        <f>C26+C33+C40+C62+C69+C169+C205+C273+C305+C312+C378+C405+C415+C435+C196+C440</f>
        <v>2159455.9999999995</v>
      </c>
      <c r="D13" s="12">
        <f>D26+D33+D40+D62+D69+D169+D205+D273+D305+D312+D378+D405+D415+D435+D196+D440</f>
        <v>2043147.6099999999</v>
      </c>
      <c r="E13" s="58">
        <v>1989647.4</v>
      </c>
      <c r="F13" s="58">
        <v>1885518.9</v>
      </c>
      <c r="G13" s="59">
        <f>E13-C13</f>
        <v>-169808.59999999963</v>
      </c>
      <c r="H13" s="59">
        <f>F13-D13</f>
        <v>-157628.70999999996</v>
      </c>
      <c r="J13" s="66"/>
      <c r="K13" s="71"/>
    </row>
    <row r="14" spans="1:11" ht="30" customHeight="1">
      <c r="A14" s="120"/>
      <c r="B14" s="3" t="s">
        <v>51</v>
      </c>
      <c r="C14" s="12">
        <f>C27+C34+C41+C63+C70+C170+C197+C206+C274+C306+C313+C379+C406+C416+C436+C441</f>
        <v>879508.3999999999</v>
      </c>
      <c r="D14" s="12">
        <f>D27+D34+D41+D63+D70+D170+D197+D206+D274+D306+D313+D379+D406+D416+D436+D441</f>
        <v>837267.7399999999</v>
      </c>
      <c r="I14" s="66"/>
      <c r="K14" s="66"/>
    </row>
    <row r="15" spans="1:11" ht="42.75" customHeight="1">
      <c r="A15" s="121"/>
      <c r="B15" s="3" t="s">
        <v>56</v>
      </c>
      <c r="C15" s="12">
        <f>C28+C35+C43+C71+C171+C198+C207+C275+C314+C380+C407+C418</f>
        <v>1279947.5999999996</v>
      </c>
      <c r="D15" s="12">
        <f>D28+D35+D43+D71+D171+D198+D207+D275+D314+D380+D407+D418</f>
        <v>1205879.8099999998</v>
      </c>
      <c r="I15" s="66"/>
      <c r="J15" s="66"/>
      <c r="K15" s="66"/>
    </row>
    <row r="16" spans="1:11" ht="13.5" customHeight="1">
      <c r="A16" s="121"/>
      <c r="B16" s="3" t="s">
        <v>52</v>
      </c>
      <c r="C16" s="13">
        <f>C44+C72+C173+C199+C208+C381+C419</f>
        <v>137834.3</v>
      </c>
      <c r="D16" s="13">
        <f>D44+D72+D173+D199+D208+D381+D419</f>
        <v>128392.63999999998</v>
      </c>
      <c r="E16" s="58">
        <v>69011.1</v>
      </c>
      <c r="F16" s="58">
        <v>66792.5</v>
      </c>
      <c r="G16" s="60">
        <f>E16-C16</f>
        <v>-68823.19999999998</v>
      </c>
      <c r="H16" s="60">
        <f>F16-D16</f>
        <v>-61600.139999999985</v>
      </c>
      <c r="J16" s="60"/>
      <c r="K16" s="60"/>
    </row>
    <row r="17" spans="1:11" ht="13.5" customHeight="1">
      <c r="A17" s="121"/>
      <c r="B17" s="3" t="s">
        <v>54</v>
      </c>
      <c r="C17" s="12">
        <f>C45+C73+C172+C200+C209+C276+C336+C355+C382+C420+C315</f>
        <v>933893</v>
      </c>
      <c r="D17" s="12">
        <f>D45+D73+D172+D200+D209+D276+D336+D355+D382+D420+D315</f>
        <v>908920.6699999999</v>
      </c>
      <c r="I17" s="125"/>
      <c r="K17" s="60"/>
    </row>
    <row r="18" spans="1:10" ht="26.25" customHeight="1">
      <c r="A18" s="121"/>
      <c r="B18" s="3" t="s">
        <v>143</v>
      </c>
      <c r="C18" s="12">
        <f>C383</f>
        <v>208220.3</v>
      </c>
      <c r="D18" s="12">
        <f>D383</f>
        <v>168566.5</v>
      </c>
      <c r="I18" s="126"/>
      <c r="J18" s="66"/>
    </row>
    <row r="19" spans="1:11" ht="30" customHeight="1">
      <c r="A19" s="122"/>
      <c r="B19" s="3" t="s">
        <v>165</v>
      </c>
      <c r="C19" s="12">
        <f>C421</f>
        <v>0</v>
      </c>
      <c r="D19" s="12">
        <f>D421</f>
        <v>0</v>
      </c>
      <c r="K19" s="66"/>
    </row>
    <row r="20" spans="1:8" ht="21" customHeight="1">
      <c r="A20" s="100" t="s">
        <v>188</v>
      </c>
      <c r="B20" s="27" t="s">
        <v>50</v>
      </c>
      <c r="C20" s="30">
        <f>C21+C22</f>
        <v>280938.8</v>
      </c>
      <c r="D20" s="30">
        <f>D21+D22</f>
        <v>236553</v>
      </c>
      <c r="E20" s="58">
        <v>169085.8</v>
      </c>
      <c r="F20" s="58">
        <v>94717.3</v>
      </c>
      <c r="G20" s="60">
        <f>E20-C20</f>
        <v>-111853</v>
      </c>
      <c r="H20" s="60">
        <f>F20-D20</f>
        <v>-141835.7</v>
      </c>
    </row>
    <row r="21" spans="1:8" ht="27" customHeight="1">
      <c r="A21" s="101"/>
      <c r="B21" s="27" t="s">
        <v>51</v>
      </c>
      <c r="C21" s="30">
        <f aca="true" t="shared" si="0" ref="C21:H21">C48+C56+C398+C425</f>
        <v>26479.6</v>
      </c>
      <c r="D21" s="30">
        <f t="shared" si="0"/>
        <v>26479.6</v>
      </c>
      <c r="E21" s="30">
        <f t="shared" si="0"/>
        <v>0</v>
      </c>
      <c r="F21" s="30">
        <f t="shared" si="0"/>
        <v>0</v>
      </c>
      <c r="G21" s="30">
        <f t="shared" si="0"/>
        <v>0</v>
      </c>
      <c r="H21" s="30">
        <f t="shared" si="0"/>
        <v>0</v>
      </c>
    </row>
    <row r="22" spans="1:4" ht="24.75" customHeight="1">
      <c r="A22" s="101"/>
      <c r="B22" s="27" t="s">
        <v>56</v>
      </c>
      <c r="C22" s="30">
        <f>C23+C24+C25</f>
        <v>254459.19999999998</v>
      </c>
      <c r="D22" s="30">
        <f>D23+D24+D25</f>
        <v>210073.4</v>
      </c>
    </row>
    <row r="23" spans="1:4" ht="15" customHeight="1">
      <c r="A23" s="101"/>
      <c r="B23" s="27" t="s">
        <v>52</v>
      </c>
      <c r="C23" s="30">
        <f>C50+C58+C125+C242+C255+C427</f>
        <v>18943.7</v>
      </c>
      <c r="D23" s="30">
        <f>D50+D58+D125+D242+D255+D427</f>
        <v>18943.7</v>
      </c>
    </row>
    <row r="24" spans="1:11" ht="14.25" customHeight="1">
      <c r="A24" s="101"/>
      <c r="B24" s="27" t="s">
        <v>54</v>
      </c>
      <c r="C24" s="30">
        <f>C51+C59+C126+C153+C241+C254+C400+C428</f>
        <v>27295.199999999997</v>
      </c>
      <c r="D24" s="30">
        <f>D51+D59+D126+D153+D241+D254+D400+D428</f>
        <v>22563.199999999997</v>
      </c>
      <c r="K24" s="60"/>
    </row>
    <row r="25" spans="1:4" ht="39" customHeight="1">
      <c r="A25" s="102"/>
      <c r="B25" s="27" t="s">
        <v>143</v>
      </c>
      <c r="C25" s="30">
        <f>C401</f>
        <v>208220.3</v>
      </c>
      <c r="D25" s="30">
        <f>D401</f>
        <v>168566.5</v>
      </c>
    </row>
    <row r="26" spans="1:4" ht="21.75" customHeight="1">
      <c r="A26" s="95" t="s">
        <v>61</v>
      </c>
      <c r="B26" s="3" t="s">
        <v>50</v>
      </c>
      <c r="C26" s="14">
        <f>C27+C28</f>
        <v>1087.4999999999998</v>
      </c>
      <c r="D26" s="14">
        <f>D27+D28</f>
        <v>1039.1</v>
      </c>
    </row>
    <row r="27" spans="1:4" ht="36" customHeight="1">
      <c r="A27" s="95"/>
      <c r="B27" s="3" t="s">
        <v>51</v>
      </c>
      <c r="C27" s="14">
        <f>C29+C30+C31+C32</f>
        <v>1087.4999999999998</v>
      </c>
      <c r="D27" s="14">
        <f>D29+D30+D31+D32</f>
        <v>1039.1</v>
      </c>
    </row>
    <row r="28" spans="1:4" ht="56.25" customHeight="1">
      <c r="A28" s="95"/>
      <c r="B28" s="3" t="s">
        <v>56</v>
      </c>
      <c r="C28" s="14">
        <v>0</v>
      </c>
      <c r="D28" s="14">
        <v>0</v>
      </c>
    </row>
    <row r="29" spans="1:4" ht="25.5">
      <c r="A29" s="46" t="s">
        <v>62</v>
      </c>
      <c r="B29" s="4" t="s">
        <v>51</v>
      </c>
      <c r="C29" s="15">
        <f>'4 месяца'!C29+'8 месяцев'!C29</f>
        <v>7.7</v>
      </c>
      <c r="D29" s="15">
        <f>'4 месяца'!D29+'8 месяцев'!D29</f>
        <v>7.7</v>
      </c>
    </row>
    <row r="30" spans="1:4" ht="38.25">
      <c r="A30" s="46" t="s">
        <v>63</v>
      </c>
      <c r="B30" s="4" t="s">
        <v>51</v>
      </c>
      <c r="C30" s="15">
        <f>'4 месяца'!C30+'8 месяцев'!C30</f>
        <v>48.4</v>
      </c>
      <c r="D30" s="15">
        <f>'4 месяца'!D30+'8 месяцев'!D30</f>
        <v>0</v>
      </c>
    </row>
    <row r="31" spans="1:4" ht="51">
      <c r="A31" s="46" t="s">
        <v>64</v>
      </c>
      <c r="B31" s="4" t="s">
        <v>51</v>
      </c>
      <c r="C31" s="15">
        <f>'4 месяца'!C31+'8 месяцев'!C31</f>
        <v>1023.5999999999999</v>
      </c>
      <c r="D31" s="15">
        <f>'4 месяца'!D31+'8 месяцев'!D31</f>
        <v>1023.5999999999999</v>
      </c>
    </row>
    <row r="32" spans="1:4" ht="25.5">
      <c r="A32" s="46" t="s">
        <v>223</v>
      </c>
      <c r="B32" s="4" t="s">
        <v>51</v>
      </c>
      <c r="C32" s="15">
        <f>'4 месяца'!C32+'8 месяцев'!C32</f>
        <v>7.8</v>
      </c>
      <c r="D32" s="15">
        <f>'4 месяца'!D32+'8 месяцев'!D32</f>
        <v>7.8</v>
      </c>
    </row>
    <row r="33" spans="1:4" ht="22.5" customHeight="1">
      <c r="A33" s="95" t="s">
        <v>65</v>
      </c>
      <c r="B33" s="3" t="s">
        <v>50</v>
      </c>
      <c r="C33" s="14">
        <f>C34+C35</f>
        <v>3362</v>
      </c>
      <c r="D33" s="14">
        <f>D34+D35</f>
        <v>3311.3999999999996</v>
      </c>
    </row>
    <row r="34" spans="1:4" ht="25.5">
      <c r="A34" s="95"/>
      <c r="B34" s="3" t="s">
        <v>51</v>
      </c>
      <c r="C34" s="14">
        <f>C36+C37+C38+C39</f>
        <v>3362</v>
      </c>
      <c r="D34" s="14">
        <f>D36+D37+D38+D39</f>
        <v>3311.3999999999996</v>
      </c>
    </row>
    <row r="35" spans="1:4" ht="38.25" hidden="1">
      <c r="A35" s="95"/>
      <c r="B35" s="3" t="s">
        <v>56</v>
      </c>
      <c r="C35" s="14">
        <v>0</v>
      </c>
      <c r="D35" s="14">
        <v>0</v>
      </c>
    </row>
    <row r="36" spans="1:4" ht="25.5">
      <c r="A36" s="46" t="s">
        <v>66</v>
      </c>
      <c r="B36" s="4" t="s">
        <v>51</v>
      </c>
      <c r="C36" s="16">
        <f>'4 месяца'!C36+'8 месяцев'!C36</f>
        <v>66</v>
      </c>
      <c r="D36" s="16">
        <f>'4 месяца'!D36+'8 месяцев'!D36</f>
        <v>66</v>
      </c>
    </row>
    <row r="37" spans="1:4" ht="25.5">
      <c r="A37" s="46" t="s">
        <v>53</v>
      </c>
      <c r="B37" s="4" t="s">
        <v>51</v>
      </c>
      <c r="C37" s="16">
        <f>'4 месяца'!C37+'8 месяцев'!C37</f>
        <v>3050.8</v>
      </c>
      <c r="D37" s="16">
        <f>'4 месяца'!D37+'8 месяцев'!D37</f>
        <v>3000.2</v>
      </c>
    </row>
    <row r="38" spans="1:4" ht="25.5">
      <c r="A38" s="46" t="s">
        <v>67</v>
      </c>
      <c r="B38" s="4" t="s">
        <v>51</v>
      </c>
      <c r="C38" s="16">
        <f>'4 месяца'!C38+'8 месяцев'!C38</f>
        <v>245.2</v>
      </c>
      <c r="D38" s="16">
        <f>'4 месяца'!D38+'8 месяцев'!D38</f>
        <v>245.2</v>
      </c>
    </row>
    <row r="39" spans="1:4" ht="25.5">
      <c r="A39" s="65" t="s">
        <v>235</v>
      </c>
      <c r="B39" s="4" t="s">
        <v>51</v>
      </c>
      <c r="C39" s="16">
        <f>'4 месяца'!C39+'8 месяцев'!C39</f>
        <v>0</v>
      </c>
      <c r="D39" s="16">
        <f>'4 месяца'!D39+'8 месяцев'!D39</f>
        <v>0</v>
      </c>
    </row>
    <row r="40" spans="1:4" ht="29.25" customHeight="1" hidden="1">
      <c r="A40" s="80" t="s">
        <v>68</v>
      </c>
      <c r="B40" s="3" t="s">
        <v>50</v>
      </c>
      <c r="C40" s="17">
        <f>C41+C43</f>
        <v>0</v>
      </c>
      <c r="D40" s="14">
        <f>D41+D43</f>
        <v>0</v>
      </c>
    </row>
    <row r="41" spans="1:4" ht="26.25" customHeight="1" hidden="1">
      <c r="A41" s="81"/>
      <c r="B41" s="87" t="s">
        <v>51</v>
      </c>
      <c r="C41" s="123">
        <f>C46+C60</f>
        <v>0</v>
      </c>
      <c r="D41" s="123">
        <f>D46+D60</f>
        <v>0</v>
      </c>
    </row>
    <row r="42" spans="1:4" ht="12.75" hidden="1">
      <c r="A42" s="81"/>
      <c r="B42" s="88"/>
      <c r="C42" s="124"/>
      <c r="D42" s="124"/>
    </row>
    <row r="43" spans="1:4" ht="38.25" hidden="1">
      <c r="A43" s="81"/>
      <c r="B43" s="3" t="s">
        <v>56</v>
      </c>
      <c r="C43" s="25">
        <f>C44+C45</f>
        <v>0</v>
      </c>
      <c r="D43" s="18">
        <f>D44+D45</f>
        <v>0</v>
      </c>
    </row>
    <row r="44" spans="1:4" ht="12.75" hidden="1">
      <c r="A44" s="81"/>
      <c r="B44" s="3" t="s">
        <v>52</v>
      </c>
      <c r="C44" s="3">
        <f>C52</f>
        <v>0</v>
      </c>
      <c r="D44" s="3">
        <f>D52</f>
        <v>0</v>
      </c>
    </row>
    <row r="45" spans="1:4" ht="12.75" hidden="1">
      <c r="A45" s="82"/>
      <c r="B45" s="3" t="s">
        <v>54</v>
      </c>
      <c r="C45" s="3">
        <f>C59</f>
        <v>0</v>
      </c>
      <c r="D45" s="3">
        <f>D53+D61</f>
        <v>0</v>
      </c>
    </row>
    <row r="46" spans="1:4" ht="30" customHeight="1" hidden="1">
      <c r="A46" s="46" t="s">
        <v>69</v>
      </c>
      <c r="B46" s="4" t="s">
        <v>51</v>
      </c>
      <c r="C46" s="16">
        <f>'4 месяца'!C46+'8 месяцев'!C46</f>
        <v>0</v>
      </c>
      <c r="D46" s="19">
        <f>'4 месяца'!D46+'8 месяцев'!D46</f>
        <v>0</v>
      </c>
    </row>
    <row r="47" spans="1:6" ht="36" customHeight="1" hidden="1">
      <c r="A47" s="100" t="s">
        <v>189</v>
      </c>
      <c r="B47" s="27" t="s">
        <v>50</v>
      </c>
      <c r="C47" s="27">
        <f>C49+C48</f>
        <v>0</v>
      </c>
      <c r="D47" s="27">
        <f>D49+D48</f>
        <v>0</v>
      </c>
      <c r="E47" s="58">
        <v>4709100</v>
      </c>
      <c r="F47" s="58">
        <v>4709100</v>
      </c>
    </row>
    <row r="48" spans="1:4" ht="36" customHeight="1" hidden="1">
      <c r="A48" s="101"/>
      <c r="B48" s="27" t="s">
        <v>51</v>
      </c>
      <c r="C48" s="27">
        <f>C60+C54</f>
        <v>0</v>
      </c>
      <c r="D48" s="27">
        <f>D60+D54</f>
        <v>0</v>
      </c>
    </row>
    <row r="49" spans="1:4" ht="38.25" hidden="1">
      <c r="A49" s="101"/>
      <c r="B49" s="27" t="s">
        <v>56</v>
      </c>
      <c r="C49" s="27">
        <f>C50+C51</f>
        <v>0</v>
      </c>
      <c r="D49" s="27">
        <f>D50+D51</f>
        <v>0</v>
      </c>
    </row>
    <row r="50" spans="1:4" ht="12.75" hidden="1">
      <c r="A50" s="101"/>
      <c r="B50" s="27" t="s">
        <v>52</v>
      </c>
      <c r="C50" s="27">
        <f>C52</f>
        <v>0</v>
      </c>
      <c r="D50" s="27">
        <f>D52</f>
        <v>0</v>
      </c>
    </row>
    <row r="51" spans="1:4" ht="12.75" hidden="1">
      <c r="A51" s="102"/>
      <c r="B51" s="27" t="s">
        <v>54</v>
      </c>
      <c r="C51" s="27">
        <f>C53+C61</f>
        <v>0</v>
      </c>
      <c r="D51" s="27">
        <f>D53+D61</f>
        <v>0</v>
      </c>
    </row>
    <row r="52" spans="1:4" ht="27" customHeight="1" hidden="1">
      <c r="A52" s="113" t="s">
        <v>184</v>
      </c>
      <c r="B52" s="4" t="s">
        <v>52</v>
      </c>
      <c r="C52" s="21"/>
      <c r="D52" s="31"/>
    </row>
    <row r="53" spans="1:4" ht="21" customHeight="1" hidden="1">
      <c r="A53" s="114"/>
      <c r="B53" s="4" t="s">
        <v>54</v>
      </c>
      <c r="C53" s="21"/>
      <c r="D53" s="26"/>
    </row>
    <row r="54" spans="1:4" ht="33" customHeight="1" hidden="1">
      <c r="A54" s="115"/>
      <c r="B54" s="4" t="s">
        <v>51</v>
      </c>
      <c r="C54" s="32"/>
      <c r="D54" s="32"/>
    </row>
    <row r="55" spans="1:8" ht="18" customHeight="1" hidden="1">
      <c r="A55" s="100" t="s">
        <v>189</v>
      </c>
      <c r="B55" s="27" t="s">
        <v>50</v>
      </c>
      <c r="C55" s="43">
        <f>C56+C57</f>
        <v>0</v>
      </c>
      <c r="D55" s="43">
        <f>D56+D57</f>
        <v>0</v>
      </c>
      <c r="E55" s="60"/>
      <c r="F55" s="60"/>
      <c r="G55" s="60"/>
      <c r="H55" s="60"/>
    </row>
    <row r="56" spans="1:8" ht="27" customHeight="1" hidden="1">
      <c r="A56" s="101"/>
      <c r="B56" s="27" t="s">
        <v>51</v>
      </c>
      <c r="C56" s="43">
        <f>C60</f>
        <v>0</v>
      </c>
      <c r="D56" s="43">
        <f>D60</f>
        <v>0</v>
      </c>
      <c r="E56" s="60"/>
      <c r="F56" s="60"/>
      <c r="G56" s="60"/>
      <c r="H56" s="60"/>
    </row>
    <row r="57" spans="1:8" ht="42" customHeight="1" hidden="1">
      <c r="A57" s="101"/>
      <c r="B57" s="27" t="s">
        <v>56</v>
      </c>
      <c r="C57" s="43">
        <f>C58+C59</f>
        <v>0</v>
      </c>
      <c r="D57" s="43">
        <f>D58+D59</f>
        <v>0</v>
      </c>
      <c r="E57" s="60"/>
      <c r="F57" s="60"/>
      <c r="G57" s="60"/>
      <c r="H57" s="60"/>
    </row>
    <row r="58" spans="1:8" ht="21" customHeight="1" hidden="1">
      <c r="A58" s="101"/>
      <c r="B58" s="27" t="s">
        <v>52</v>
      </c>
      <c r="C58" s="42">
        <v>0</v>
      </c>
      <c r="D58" s="42">
        <v>0</v>
      </c>
      <c r="E58" s="60"/>
      <c r="F58" s="60"/>
      <c r="G58" s="60"/>
      <c r="H58" s="60"/>
    </row>
    <row r="59" spans="1:8" ht="20.25" customHeight="1" hidden="1">
      <c r="A59" s="102"/>
      <c r="B59" s="27" t="s">
        <v>54</v>
      </c>
      <c r="C59" s="43">
        <f>C61</f>
        <v>0</v>
      </c>
      <c r="D59" s="43">
        <f>D61</f>
        <v>0</v>
      </c>
      <c r="E59" s="60"/>
      <c r="F59" s="60"/>
      <c r="G59" s="60"/>
      <c r="H59" s="60"/>
    </row>
    <row r="60" spans="1:8" ht="26.25" customHeight="1" hidden="1">
      <c r="A60" s="113" t="s">
        <v>225</v>
      </c>
      <c r="B60" s="4" t="s">
        <v>51</v>
      </c>
      <c r="C60" s="16"/>
      <c r="D60" s="19"/>
      <c r="E60" s="60"/>
      <c r="F60" s="60"/>
      <c r="G60" s="60"/>
      <c r="H60" s="60"/>
    </row>
    <row r="61" spans="1:8" ht="39.75" customHeight="1" hidden="1">
      <c r="A61" s="115"/>
      <c r="B61" s="4" t="s">
        <v>54</v>
      </c>
      <c r="C61" s="16"/>
      <c r="D61" s="19"/>
      <c r="E61" s="60"/>
      <c r="F61" s="60"/>
      <c r="G61" s="60"/>
      <c r="H61" s="60"/>
    </row>
    <row r="62" spans="1:4" ht="25.5" customHeight="1">
      <c r="A62" s="112" t="s">
        <v>70</v>
      </c>
      <c r="B62" s="3" t="s">
        <v>50</v>
      </c>
      <c r="C62" s="14">
        <f>C63+C64</f>
        <v>9935.9</v>
      </c>
      <c r="D62" s="14">
        <f>D63+D64</f>
        <v>9590.9</v>
      </c>
    </row>
    <row r="63" spans="1:4" ht="26.25" customHeight="1">
      <c r="A63" s="112"/>
      <c r="B63" s="87" t="s">
        <v>51</v>
      </c>
      <c r="C63" s="75">
        <f>C66+C67+C68+C65</f>
        <v>9935.9</v>
      </c>
      <c r="D63" s="75">
        <f>D66+D67+D68+D65</f>
        <v>9590.9</v>
      </c>
    </row>
    <row r="64" spans="1:4" ht="12.75">
      <c r="A64" s="112"/>
      <c r="B64" s="88"/>
      <c r="C64" s="76"/>
      <c r="D64" s="76"/>
    </row>
    <row r="65" spans="1:4" ht="38.25" hidden="1">
      <c r="A65" s="46" t="s">
        <v>180</v>
      </c>
      <c r="B65" s="4" t="s">
        <v>51</v>
      </c>
      <c r="C65" s="19"/>
      <c r="D65" s="19"/>
    </row>
    <row r="66" spans="1:4" ht="38.25">
      <c r="A66" s="46" t="s">
        <v>71</v>
      </c>
      <c r="B66" s="4" t="s">
        <v>51</v>
      </c>
      <c r="C66" s="16">
        <f>'4 месяца'!C66+'8 месяцев'!C66</f>
        <v>8132.799999999999</v>
      </c>
      <c r="D66" s="16">
        <f>'4 месяца'!D66+'8 месяцев'!D66</f>
        <v>7825.4</v>
      </c>
    </row>
    <row r="67" spans="1:4" ht="25.5">
      <c r="A67" s="46" t="s">
        <v>72</v>
      </c>
      <c r="B67" s="4" t="s">
        <v>51</v>
      </c>
      <c r="C67" s="16">
        <f>'4 месяца'!C67+'8 месяцев'!C67</f>
        <v>1023.1</v>
      </c>
      <c r="D67" s="16">
        <f>'4 месяца'!D67+'8 месяцев'!D67</f>
        <v>985.5</v>
      </c>
    </row>
    <row r="68" spans="1:4" ht="25.5">
      <c r="A68" s="46" t="s">
        <v>73</v>
      </c>
      <c r="B68" s="4" t="s">
        <v>51</v>
      </c>
      <c r="C68" s="16">
        <f>'4 месяца'!C68+'8 месяцев'!C68</f>
        <v>780</v>
      </c>
      <c r="D68" s="16">
        <f>'4 месяца'!D68+'8 месяцев'!D68</f>
        <v>780</v>
      </c>
    </row>
    <row r="69" spans="1:4" ht="38.25" customHeight="1">
      <c r="A69" s="80" t="s">
        <v>74</v>
      </c>
      <c r="B69" s="3" t="s">
        <v>50</v>
      </c>
      <c r="C69" s="14">
        <f>C70+C71</f>
        <v>928411.5999999997</v>
      </c>
      <c r="D69" s="14">
        <f>D70+D71</f>
        <v>881578.9699999999</v>
      </c>
    </row>
    <row r="70" spans="1:4" ht="25.5">
      <c r="A70" s="81"/>
      <c r="B70" s="3" t="s">
        <v>51</v>
      </c>
      <c r="C70" s="14">
        <f>C75+C130+C156+C164</f>
        <v>319563.4999999999</v>
      </c>
      <c r="D70" s="14">
        <f>D75+D130+D156+D164</f>
        <v>298961.19999999995</v>
      </c>
    </row>
    <row r="71" spans="1:4" ht="38.25">
      <c r="A71" s="81"/>
      <c r="B71" s="3" t="s">
        <v>56</v>
      </c>
      <c r="C71" s="14">
        <f>C72+C73</f>
        <v>608848.0999999999</v>
      </c>
      <c r="D71" s="14">
        <f>D72+D73</f>
        <v>582617.7699999999</v>
      </c>
    </row>
    <row r="72" spans="1:4" ht="12.75">
      <c r="A72" s="81"/>
      <c r="B72" s="3" t="s">
        <v>52</v>
      </c>
      <c r="C72" s="14">
        <f>C132+C78</f>
        <v>51149.29999999999</v>
      </c>
      <c r="D72" s="14">
        <f>D132+D78</f>
        <v>44696.7</v>
      </c>
    </row>
    <row r="73" spans="1:10" ht="12.75">
      <c r="A73" s="82"/>
      <c r="B73" s="3" t="s">
        <v>54</v>
      </c>
      <c r="C73" s="14">
        <f>C77+C133+C158+C166</f>
        <v>557698.7999999999</v>
      </c>
      <c r="D73" s="14">
        <f>D77+D133+D158+D166</f>
        <v>537921.07</v>
      </c>
      <c r="J73" s="66"/>
    </row>
    <row r="74" spans="1:4" ht="12.75" customHeight="1">
      <c r="A74" s="77" t="s">
        <v>75</v>
      </c>
      <c r="B74" s="5" t="s">
        <v>50</v>
      </c>
      <c r="C74" s="20">
        <f>C75+C76</f>
        <v>862286.2999999998</v>
      </c>
      <c r="D74" s="20">
        <f>D75+D76</f>
        <v>817683</v>
      </c>
    </row>
    <row r="75" spans="1:4" ht="25.5">
      <c r="A75" s="78"/>
      <c r="B75" s="5" t="s">
        <v>51</v>
      </c>
      <c r="C75" s="20">
        <f>C79+C80+C81+C82+C83+C84+C85+C86+C87+C88+C89+C90+C91+C92+C93+C94+C95+C96+C97+C98+C99+C100+C108+C122</f>
        <v>282168.6999999999</v>
      </c>
      <c r="D75" s="20">
        <f>D79+D80+D81+D82+D83+D84+D85+D86+D87+D88+D89+D90+D91+D92+D93+D94+D95+D96+D97+D98+D99+D100+D108+D122</f>
        <v>263292.89999999997</v>
      </c>
    </row>
    <row r="76" spans="1:4" ht="38.25">
      <c r="A76" s="78"/>
      <c r="B76" s="5" t="s">
        <v>56</v>
      </c>
      <c r="C76" s="20">
        <f>C77+C78</f>
        <v>580117.5999999999</v>
      </c>
      <c r="D76" s="20">
        <f>D77+D78</f>
        <v>554390.1</v>
      </c>
    </row>
    <row r="77" spans="1:4" ht="12.75">
      <c r="A77" s="79"/>
      <c r="B77" s="5" t="s">
        <v>54</v>
      </c>
      <c r="C77" s="20">
        <f>C102+C103+C104+C105+C106+C107+C109+C110+C112+C126+C120+C121</f>
        <v>529797.2999999999</v>
      </c>
      <c r="D77" s="20">
        <f>D102+D103+D104+D105+D106+D107+D109+D110+D112+D126+D120+D121</f>
        <v>510522.39999999997</v>
      </c>
    </row>
    <row r="78" spans="1:10" ht="12.75">
      <c r="A78" s="47"/>
      <c r="B78" s="5" t="s">
        <v>52</v>
      </c>
      <c r="C78" s="20">
        <f>C101+C114+C111+C125</f>
        <v>50320.29999999999</v>
      </c>
      <c r="D78" s="20">
        <f>D101+D114+D111+D125</f>
        <v>43867.7</v>
      </c>
      <c r="J78" s="66"/>
    </row>
    <row r="79" spans="1:4" ht="32.25" customHeight="1">
      <c r="A79" s="48" t="s">
        <v>105</v>
      </c>
      <c r="B79" s="4" t="s">
        <v>51</v>
      </c>
      <c r="C79" s="21">
        <f>'4 месяца'!C79+'8 месяцев'!C79</f>
        <v>38.8</v>
      </c>
      <c r="D79" s="16">
        <f>'4 месяца'!D79+'8 месяцев'!D79</f>
        <v>38.8</v>
      </c>
    </row>
    <row r="80" spans="1:4" ht="40.5" customHeight="1">
      <c r="A80" s="48" t="s">
        <v>76</v>
      </c>
      <c r="B80" s="4" t="s">
        <v>51</v>
      </c>
      <c r="C80" s="21">
        <f>'4 месяца'!C80+'8 месяцев'!C80</f>
        <v>19</v>
      </c>
      <c r="D80" s="16">
        <f>'4 месяца'!D80+'8 месяцев'!D80</f>
        <v>19</v>
      </c>
    </row>
    <row r="81" spans="1:4" ht="38.25" hidden="1">
      <c r="A81" s="48" t="s">
        <v>106</v>
      </c>
      <c r="B81" s="4" t="s">
        <v>51</v>
      </c>
      <c r="C81" s="21">
        <f>'4 месяца'!C81+'8 месяцев'!C81</f>
        <v>0</v>
      </c>
      <c r="D81" s="16">
        <f>'4 месяца'!D81+'8 месяцев'!D81</f>
        <v>0</v>
      </c>
    </row>
    <row r="82" spans="1:4" ht="27.75" customHeight="1">
      <c r="A82" s="48" t="s">
        <v>55</v>
      </c>
      <c r="B82" s="4" t="s">
        <v>51</v>
      </c>
      <c r="C82" s="21">
        <f>'4 месяца'!C82+'8 месяцев'!C82</f>
        <v>25.2</v>
      </c>
      <c r="D82" s="16">
        <f>'4 месяца'!D82+'8 месяцев'!D82</f>
        <v>21.1</v>
      </c>
    </row>
    <row r="83" spans="1:4" ht="27.75" customHeight="1">
      <c r="A83" s="48" t="s">
        <v>159</v>
      </c>
      <c r="B83" s="10" t="s">
        <v>51</v>
      </c>
      <c r="C83" s="21">
        <f>'4 месяца'!C83+'8 месяцев'!C83</f>
        <v>3454.8</v>
      </c>
      <c r="D83" s="16">
        <f>'4 месяца'!D83+'8 месяцев'!D83</f>
        <v>3454.7</v>
      </c>
    </row>
    <row r="84" spans="1:4" ht="27.75" customHeight="1" hidden="1">
      <c r="A84" s="48" t="s">
        <v>169</v>
      </c>
      <c r="B84" s="10" t="s">
        <v>51</v>
      </c>
      <c r="C84" s="21">
        <f>'4 месяца'!C84+'8 месяцев'!C84</f>
        <v>0</v>
      </c>
      <c r="D84" s="16">
        <f>'4 месяца'!D84+'8 месяцев'!D84</f>
        <v>0</v>
      </c>
    </row>
    <row r="85" spans="1:4" ht="65.25" customHeight="1">
      <c r="A85" s="40" t="s">
        <v>198</v>
      </c>
      <c r="B85" s="4" t="s">
        <v>144</v>
      </c>
      <c r="C85" s="21">
        <f>'4 месяца'!C85+'8 месяцев'!C85</f>
        <v>1045.3</v>
      </c>
      <c r="D85" s="16">
        <f>'4 месяца'!D85+'8 месяцев'!D85</f>
        <v>1045.1</v>
      </c>
    </row>
    <row r="86" spans="1:4" ht="27.75" customHeight="1" hidden="1">
      <c r="A86" s="48" t="s">
        <v>199</v>
      </c>
      <c r="B86" s="10" t="s">
        <v>51</v>
      </c>
      <c r="C86" s="21">
        <f>'4 месяца'!C86+'8 месяцев'!C86</f>
        <v>0</v>
      </c>
      <c r="D86" s="16">
        <f>'4 месяца'!D86+'8 месяцев'!D86</f>
        <v>0</v>
      </c>
    </row>
    <row r="87" spans="1:8" s="11" customFormat="1" ht="25.5">
      <c r="A87" s="49" t="s">
        <v>107</v>
      </c>
      <c r="B87" s="10" t="s">
        <v>51</v>
      </c>
      <c r="C87" s="21">
        <f>'4 месяца'!C87+'8 месяцев'!C87</f>
        <v>162765.8</v>
      </c>
      <c r="D87" s="21">
        <f>'4 месяца'!D87+'8 месяцев'!D87</f>
        <v>151928.8</v>
      </c>
      <c r="E87" s="60"/>
      <c r="F87" s="60"/>
      <c r="G87" s="60"/>
      <c r="H87" s="60"/>
    </row>
    <row r="88" spans="1:4" ht="38.25">
      <c r="A88" s="48" t="s">
        <v>171</v>
      </c>
      <c r="B88" s="4" t="s">
        <v>51</v>
      </c>
      <c r="C88" s="21">
        <f>'4 месяца'!C88+'8 месяцев'!C88</f>
        <v>254.9</v>
      </c>
      <c r="D88" s="21">
        <f>'4 месяца'!D88+'8 месяцев'!D88</f>
        <v>254.8</v>
      </c>
    </row>
    <row r="89" spans="1:4" ht="25.5">
      <c r="A89" s="48" t="s">
        <v>170</v>
      </c>
      <c r="B89" s="4" t="s">
        <v>51</v>
      </c>
      <c r="C89" s="21">
        <f>'4 месяца'!C89+'8 месяцев'!C89</f>
        <v>143.6</v>
      </c>
      <c r="D89" s="21">
        <f>'4 месяца'!D89+'8 месяцев'!D89</f>
        <v>143.5</v>
      </c>
    </row>
    <row r="90" spans="1:4" ht="33" customHeight="1">
      <c r="A90" s="48" t="s">
        <v>108</v>
      </c>
      <c r="B90" s="4" t="s">
        <v>51</v>
      </c>
      <c r="C90" s="21">
        <f>'4 месяца'!C90+'8 месяцев'!C90</f>
        <v>21452.5</v>
      </c>
      <c r="D90" s="21">
        <f>'4 месяца'!D90+'8 месяцев'!D90</f>
        <v>19613.7</v>
      </c>
    </row>
    <row r="91" spans="1:4" ht="27.75" customHeight="1">
      <c r="A91" s="48" t="s">
        <v>77</v>
      </c>
      <c r="B91" s="4" t="s">
        <v>51</v>
      </c>
      <c r="C91" s="21">
        <f>'4 месяца'!C91+'8 месяцев'!C91</f>
        <v>22473.8</v>
      </c>
      <c r="D91" s="21">
        <f>'4 месяца'!D91+'8 месяцев'!D91</f>
        <v>20701.3</v>
      </c>
    </row>
    <row r="92" spans="1:4" ht="48" customHeight="1">
      <c r="A92" s="48" t="s">
        <v>109</v>
      </c>
      <c r="B92" s="4" t="s">
        <v>51</v>
      </c>
      <c r="C92" s="21">
        <f>'4 месяца'!C92+'8 месяцев'!C92</f>
        <v>6062.1</v>
      </c>
      <c r="D92" s="21">
        <f>'4 месяца'!D92+'8 месяцев'!D92</f>
        <v>5754.3</v>
      </c>
    </row>
    <row r="93" spans="1:4" ht="51.75" customHeight="1">
      <c r="A93" s="48" t="s">
        <v>160</v>
      </c>
      <c r="B93" s="4" t="s">
        <v>51</v>
      </c>
      <c r="C93" s="21">
        <f>'4 месяца'!C93+'8 месяцев'!C93</f>
        <v>62.4</v>
      </c>
      <c r="D93" s="21">
        <f>'4 месяца'!D93+'8 месяцев'!D93</f>
        <v>62.3</v>
      </c>
    </row>
    <row r="94" spans="1:4" ht="25.5">
      <c r="A94" s="48" t="s">
        <v>103</v>
      </c>
      <c r="B94" s="4" t="s">
        <v>51</v>
      </c>
      <c r="C94" s="21">
        <f>'4 месяца'!C94+'8 месяцев'!C94</f>
        <v>54527.5</v>
      </c>
      <c r="D94" s="21">
        <f>'4 месяца'!D94+'8 месяцев'!D94</f>
        <v>53005.4</v>
      </c>
    </row>
    <row r="95" spans="1:4" ht="40.5" customHeight="1">
      <c r="A95" s="48" t="s">
        <v>110</v>
      </c>
      <c r="B95" s="4" t="s">
        <v>51</v>
      </c>
      <c r="C95" s="21">
        <f>'4 месяца'!C95+'8 месяцев'!C95</f>
        <v>67.3</v>
      </c>
      <c r="D95" s="21">
        <f>'4 месяца'!D95+'8 месяцев'!D95</f>
        <v>60</v>
      </c>
    </row>
    <row r="96" spans="1:4" ht="40.5" customHeight="1">
      <c r="A96" s="48" t="s">
        <v>167</v>
      </c>
      <c r="B96" s="4" t="s">
        <v>51</v>
      </c>
      <c r="C96" s="21">
        <f>'4 месяца'!C96+'8 месяцев'!C96</f>
        <v>161</v>
      </c>
      <c r="D96" s="21">
        <f>'4 месяца'!D96+'8 месяцев'!D96</f>
        <v>161</v>
      </c>
    </row>
    <row r="97" spans="1:5" ht="40.5" customHeight="1" hidden="1">
      <c r="A97" s="48" t="s">
        <v>226</v>
      </c>
      <c r="B97" s="4" t="s">
        <v>51</v>
      </c>
      <c r="C97" s="21">
        <f>'4 месяца'!C97+'8 месяцев'!C97</f>
        <v>0</v>
      </c>
      <c r="D97" s="21">
        <f>'4 месяца'!D97+'8 месяцев'!D97</f>
        <v>0</v>
      </c>
      <c r="E97" s="60"/>
    </row>
    <row r="98" spans="1:4" ht="40.5" customHeight="1">
      <c r="A98" s="48" t="s">
        <v>229</v>
      </c>
      <c r="B98" s="4" t="s">
        <v>51</v>
      </c>
      <c r="C98" s="21">
        <f>'4 месяца'!C98+'8 месяцев'!C98</f>
        <v>2056.3</v>
      </c>
      <c r="D98" s="21">
        <f>'4 месяца'!D98+'8 месяцев'!D98</f>
        <v>6</v>
      </c>
    </row>
    <row r="99" spans="1:4" ht="25.5">
      <c r="A99" s="48" t="s">
        <v>104</v>
      </c>
      <c r="B99" s="4" t="s">
        <v>51</v>
      </c>
      <c r="C99" s="21">
        <f>'4 месяца'!C99+'8 месяцев'!C99</f>
        <v>2457</v>
      </c>
      <c r="D99" s="21">
        <f>'4 месяца'!D99+'8 месяцев'!D99</f>
        <v>2045.8</v>
      </c>
    </row>
    <row r="100" spans="1:4" ht="25.5">
      <c r="A100" s="48" t="s">
        <v>181</v>
      </c>
      <c r="B100" s="4" t="s">
        <v>51</v>
      </c>
      <c r="C100" s="21">
        <f>'4 месяца'!C100+'8 месяцев'!C100</f>
        <v>5051.5</v>
      </c>
      <c r="D100" s="21">
        <f>'4 месяца'!D100+'8 месяцев'!D100</f>
        <v>4927.5</v>
      </c>
    </row>
    <row r="101" spans="1:10" ht="51">
      <c r="A101" s="48" t="s">
        <v>200</v>
      </c>
      <c r="B101" s="4" t="s">
        <v>52</v>
      </c>
      <c r="C101" s="21">
        <f>'4 месяца'!C101+'8 месяцев'!C101</f>
        <v>25896.8</v>
      </c>
      <c r="D101" s="21">
        <f>'4 месяца'!D101+'8 месяцев'!D101</f>
        <v>25330.4</v>
      </c>
      <c r="E101" s="58">
        <v>8632300</v>
      </c>
      <c r="F101" s="58">
        <v>8462262.56</v>
      </c>
      <c r="J101" s="66"/>
    </row>
    <row r="102" spans="1:4" ht="41.25" customHeight="1" hidden="1">
      <c r="A102" s="48" t="s">
        <v>182</v>
      </c>
      <c r="B102" s="4" t="s">
        <v>54</v>
      </c>
      <c r="C102" s="21">
        <f>'4 месяца'!C102+'8 месяцев'!C102</f>
        <v>0</v>
      </c>
      <c r="D102" s="21">
        <f>'4 месяца'!D102+'8 месяцев'!D102</f>
        <v>0</v>
      </c>
    </row>
    <row r="103" spans="1:4" ht="63" customHeight="1">
      <c r="A103" s="48" t="s">
        <v>111</v>
      </c>
      <c r="B103" s="4" t="s">
        <v>54</v>
      </c>
      <c r="C103" s="21">
        <f>'4 месяца'!C103+'8 месяцев'!C103</f>
        <v>182865.5</v>
      </c>
      <c r="D103" s="21">
        <f>'4 месяца'!D103+'8 месяцев'!D103</f>
        <v>182865.4</v>
      </c>
    </row>
    <row r="104" spans="1:4" ht="38.25">
      <c r="A104" s="48" t="s">
        <v>89</v>
      </c>
      <c r="B104" s="4" t="s">
        <v>54</v>
      </c>
      <c r="C104" s="21">
        <f>'4 месяца'!C104+'8 месяцев'!C104</f>
        <v>41178.5</v>
      </c>
      <c r="D104" s="21">
        <f>'4 месяца'!D104+'8 месяцев'!D104</f>
        <v>40851.2</v>
      </c>
    </row>
    <row r="105" spans="1:4" ht="76.5">
      <c r="A105" s="48" t="s">
        <v>112</v>
      </c>
      <c r="B105" s="4" t="s">
        <v>54</v>
      </c>
      <c r="C105" s="21">
        <f>'4 месяца'!C105+'8 месяцев'!C105</f>
        <v>256963</v>
      </c>
      <c r="D105" s="21">
        <f>'4 месяца'!D105+'8 месяцев'!D105</f>
        <v>240547.4</v>
      </c>
    </row>
    <row r="106" spans="1:4" ht="38.25">
      <c r="A106" s="48" t="s">
        <v>113</v>
      </c>
      <c r="B106" s="4" t="s">
        <v>54</v>
      </c>
      <c r="C106" s="21">
        <f>'4 месяца'!C106+'8 месяцев'!C106</f>
        <v>40296.1</v>
      </c>
      <c r="D106" s="21">
        <f>'4 месяца'!D106+'8 месяцев'!D106</f>
        <v>39719.6</v>
      </c>
    </row>
    <row r="107" spans="1:4" ht="28.5" customHeight="1">
      <c r="A107" s="73" t="s">
        <v>114</v>
      </c>
      <c r="B107" s="4" t="s">
        <v>54</v>
      </c>
      <c r="C107" s="21">
        <f>'4 месяца'!C107+'8 месяцев'!C107</f>
        <v>450</v>
      </c>
      <c r="D107" s="16">
        <f>'4 месяца'!D107+'8 месяцев'!D107</f>
        <v>331.1</v>
      </c>
    </row>
    <row r="108" spans="1:4" ht="25.5">
      <c r="A108" s="74"/>
      <c r="B108" s="4" t="s">
        <v>51</v>
      </c>
      <c r="C108" s="21">
        <f>'4 месяца'!C108+'8 месяцев'!C108</f>
        <v>27.3</v>
      </c>
      <c r="D108" s="16">
        <f>'4 месяца'!D108+'8 месяцев'!D108</f>
        <v>27.2</v>
      </c>
    </row>
    <row r="109" spans="1:4" ht="28.5" customHeight="1">
      <c r="A109" s="48" t="s">
        <v>34</v>
      </c>
      <c r="B109" s="4" t="s">
        <v>54</v>
      </c>
      <c r="C109" s="21">
        <f>'4 месяца'!C109+'8 месяцев'!C109</f>
        <v>2815.6</v>
      </c>
      <c r="D109" s="16">
        <f>'4 месяца'!D109+'8 месяцев'!D109</f>
        <v>2184.7</v>
      </c>
    </row>
    <row r="110" spans="1:4" ht="30" customHeight="1">
      <c r="A110" s="48" t="s">
        <v>172</v>
      </c>
      <c r="B110" s="4" t="s">
        <v>54</v>
      </c>
      <c r="C110" s="21">
        <f>'4 месяца'!C110+'8 месяцев'!C110</f>
        <v>19.7</v>
      </c>
      <c r="D110" s="16">
        <f>'4 месяца'!D110+'8 месяцев'!D110</f>
        <v>19.7</v>
      </c>
    </row>
    <row r="111" spans="1:12" ht="39" customHeight="1">
      <c r="A111" s="73" t="s">
        <v>228</v>
      </c>
      <c r="B111" s="4" t="s">
        <v>52</v>
      </c>
      <c r="C111" s="21">
        <f>'4 месяца'!C111+'8 месяцев'!C111</f>
        <v>23589.299999999996</v>
      </c>
      <c r="D111" s="16">
        <f>'4 месяца'!D111+'8 месяцев'!D111</f>
        <v>17703.1</v>
      </c>
      <c r="E111" s="64">
        <v>9664354</v>
      </c>
      <c r="F111" s="64">
        <v>7616161.36</v>
      </c>
      <c r="G111" s="64"/>
      <c r="H111" s="64"/>
      <c r="I111" s="57"/>
      <c r="J111" s="67"/>
      <c r="K111" s="57"/>
      <c r="L111" s="57"/>
    </row>
    <row r="112" spans="1:12" ht="63.75" customHeight="1">
      <c r="A112" s="74"/>
      <c r="B112" s="4" t="s">
        <v>54</v>
      </c>
      <c r="C112" s="21">
        <f>'4 месяца'!C112+'8 месяцев'!C112</f>
        <v>4831.6</v>
      </c>
      <c r="D112" s="16">
        <f>'4 месяца'!D112+'8 месяцев'!D112</f>
        <v>3626</v>
      </c>
      <c r="E112" s="61"/>
      <c r="F112" s="61"/>
      <c r="G112" s="61"/>
      <c r="H112" s="61"/>
      <c r="I112" s="57"/>
      <c r="J112" s="57"/>
      <c r="K112" s="57"/>
      <c r="L112" s="57"/>
    </row>
    <row r="113" spans="1:4" ht="35.25" customHeight="1" hidden="1">
      <c r="A113" s="48" t="s">
        <v>201</v>
      </c>
      <c r="B113" s="4" t="s">
        <v>54</v>
      </c>
      <c r="C113" s="21">
        <f>'4 месяца'!C113+'8 месяцев'!C113</f>
        <v>0</v>
      </c>
      <c r="D113" s="16">
        <f>'4 месяца'!D113+'8 месяцев'!D113</f>
        <v>0</v>
      </c>
    </row>
    <row r="114" spans="1:8" ht="40.5" customHeight="1" hidden="1">
      <c r="A114" s="73" t="s">
        <v>202</v>
      </c>
      <c r="B114" s="4" t="s">
        <v>52</v>
      </c>
      <c r="C114" s="21">
        <f>'4 месяца'!C114+'8 месяцев'!C114</f>
        <v>0</v>
      </c>
      <c r="D114" s="16">
        <f>'4 месяца'!D114+'8 месяцев'!D114</f>
        <v>0</v>
      </c>
      <c r="E114" s="62"/>
      <c r="F114" s="62"/>
      <c r="G114" s="62"/>
      <c r="H114" s="62"/>
    </row>
    <row r="115" spans="1:4" ht="40.5" customHeight="1" hidden="1">
      <c r="A115" s="74"/>
      <c r="B115" s="4" t="s">
        <v>54</v>
      </c>
      <c r="C115" s="21">
        <f>'4 месяца'!C115+'8 месяцев'!C115</f>
        <v>0</v>
      </c>
      <c r="D115" s="16">
        <f>'4 месяца'!D115+'8 месяцев'!D115</f>
        <v>0</v>
      </c>
    </row>
    <row r="116" spans="1:4" ht="42.75" customHeight="1" hidden="1">
      <c r="A116" s="48" t="s">
        <v>182</v>
      </c>
      <c r="B116" s="4" t="s">
        <v>144</v>
      </c>
      <c r="C116" s="21">
        <f>'4 месяца'!C116+'8 месяцев'!C116</f>
        <v>0</v>
      </c>
      <c r="D116" s="16">
        <f>'4 месяца'!D116+'8 месяцев'!D116</f>
        <v>0</v>
      </c>
    </row>
    <row r="117" spans="1:8" s="11" customFormat="1" ht="21" customHeight="1" hidden="1">
      <c r="A117" s="92" t="s">
        <v>185</v>
      </c>
      <c r="B117" s="10" t="s">
        <v>54</v>
      </c>
      <c r="C117" s="21">
        <f>'4 месяца'!C117+'8 месяцев'!C117</f>
        <v>0</v>
      </c>
      <c r="D117" s="16">
        <f>'4 месяца'!D117+'8 месяцев'!D117</f>
        <v>0</v>
      </c>
      <c r="E117" s="60"/>
      <c r="F117" s="60"/>
      <c r="G117" s="60"/>
      <c r="H117" s="60"/>
    </row>
    <row r="118" spans="1:4" ht="27" customHeight="1" hidden="1">
      <c r="A118" s="96"/>
      <c r="B118" s="4" t="s">
        <v>144</v>
      </c>
      <c r="C118" s="21">
        <f>'4 месяца'!C118+'8 месяцев'!C118</f>
        <v>0</v>
      </c>
      <c r="D118" s="16">
        <f>'4 месяца'!D118+'8 месяцев'!D118</f>
        <v>0</v>
      </c>
    </row>
    <row r="119" spans="1:4" ht="42.75" customHeight="1" hidden="1">
      <c r="A119" s="40" t="s">
        <v>227</v>
      </c>
      <c r="B119" s="10" t="s">
        <v>54</v>
      </c>
      <c r="C119" s="21">
        <f>'4 месяца'!C119+'8 месяцев'!C119</f>
        <v>0</v>
      </c>
      <c r="D119" s="16">
        <f>'4 месяца'!D119+'8 месяцев'!D119</f>
        <v>0</v>
      </c>
    </row>
    <row r="120" spans="1:4" ht="51" customHeight="1">
      <c r="A120" s="40" t="s">
        <v>89</v>
      </c>
      <c r="B120" s="10" t="s">
        <v>54</v>
      </c>
      <c r="C120" s="21">
        <f>'4 месяца'!C120+'8 месяцев'!C120</f>
        <v>51.5</v>
      </c>
      <c r="D120" s="16">
        <f>'4 месяца'!D120+'8 месяцев'!D120</f>
        <v>51.5</v>
      </c>
    </row>
    <row r="121" spans="1:4" ht="51" customHeight="1">
      <c r="A121" s="108" t="s">
        <v>262</v>
      </c>
      <c r="B121" s="10" t="s">
        <v>54</v>
      </c>
      <c r="C121" s="21">
        <f>'4 месяца'!C121+'8 месяцев'!C121</f>
        <v>300</v>
      </c>
      <c r="D121" s="16">
        <f>'4 месяца'!D121+'8 месяцев'!D121</f>
        <v>300</v>
      </c>
    </row>
    <row r="122" spans="1:4" ht="51" customHeight="1">
      <c r="A122" s="110"/>
      <c r="B122" s="10" t="s">
        <v>263</v>
      </c>
      <c r="C122" s="21">
        <f>'4 месяца'!C122+'8 месяцев'!C122</f>
        <v>22.6</v>
      </c>
      <c r="D122" s="16">
        <f>'4 месяца'!D122+'8 месяцев'!D122</f>
        <v>22.6</v>
      </c>
    </row>
    <row r="123" spans="1:6" ht="12.75">
      <c r="A123" s="100" t="s">
        <v>237</v>
      </c>
      <c r="B123" s="27" t="s">
        <v>50</v>
      </c>
      <c r="C123" s="33">
        <f>C124</f>
        <v>860</v>
      </c>
      <c r="D123" s="33">
        <f>D124</f>
        <v>860</v>
      </c>
      <c r="E123" s="58">
        <v>3660000</v>
      </c>
      <c r="F123" s="58">
        <v>3268043.4</v>
      </c>
    </row>
    <row r="124" spans="1:4" ht="38.25">
      <c r="A124" s="101"/>
      <c r="B124" s="27" t="s">
        <v>56</v>
      </c>
      <c r="C124" s="34">
        <f>C125+C126</f>
        <v>860</v>
      </c>
      <c r="D124" s="34">
        <f>D125+D126</f>
        <v>860</v>
      </c>
    </row>
    <row r="125" spans="1:4" ht="12.75">
      <c r="A125" s="101"/>
      <c r="B125" s="27" t="s">
        <v>52</v>
      </c>
      <c r="C125" s="34">
        <f>C127</f>
        <v>834.2</v>
      </c>
      <c r="D125" s="34">
        <f>D127</f>
        <v>834.2</v>
      </c>
    </row>
    <row r="126" spans="1:4" ht="12.75">
      <c r="A126" s="102"/>
      <c r="B126" s="27" t="s">
        <v>54</v>
      </c>
      <c r="C126" s="34">
        <f>C128</f>
        <v>25.8</v>
      </c>
      <c r="D126" s="34">
        <f>D128</f>
        <v>25.8</v>
      </c>
    </row>
    <row r="127" spans="1:8" s="11" customFormat="1" ht="50.25" customHeight="1">
      <c r="A127" s="92" t="s">
        <v>236</v>
      </c>
      <c r="B127" s="10" t="s">
        <v>52</v>
      </c>
      <c r="C127" s="21">
        <f>'4 месяца'!C127+'8 месяцев'!C127</f>
        <v>834.2</v>
      </c>
      <c r="D127" s="21">
        <f>'4 месяца'!D127+'8 месяцев'!D127</f>
        <v>834.2</v>
      </c>
      <c r="E127" s="60"/>
      <c r="F127" s="60"/>
      <c r="G127" s="60"/>
      <c r="H127" s="60"/>
    </row>
    <row r="128" spans="1:8" s="11" customFormat="1" ht="50.25" customHeight="1">
      <c r="A128" s="96"/>
      <c r="B128" s="10" t="s">
        <v>54</v>
      </c>
      <c r="C128" s="21">
        <f>'4 месяца'!C128+'8 месяцев'!C128</f>
        <v>25.8</v>
      </c>
      <c r="D128" s="21">
        <f>'4 месяца'!D128+'8 месяцев'!D128</f>
        <v>25.8</v>
      </c>
      <c r="E128" s="60"/>
      <c r="F128" s="60"/>
      <c r="G128" s="60"/>
      <c r="H128" s="60"/>
    </row>
    <row r="129" spans="1:4" ht="12.75" customHeight="1">
      <c r="A129" s="77" t="s">
        <v>30</v>
      </c>
      <c r="B129" s="5" t="s">
        <v>50</v>
      </c>
      <c r="C129" s="20">
        <f>C130+C131</f>
        <v>27350.3</v>
      </c>
      <c r="D129" s="20">
        <f>D130+D131</f>
        <v>26729.67</v>
      </c>
    </row>
    <row r="130" spans="1:4" ht="25.5">
      <c r="A130" s="78"/>
      <c r="B130" s="5" t="s">
        <v>51</v>
      </c>
      <c r="C130" s="20">
        <f>C135+C136+C137+C138+C149</f>
        <v>1442.2</v>
      </c>
      <c r="D130" s="20">
        <f>D135+D136+D137+D138+D149</f>
        <v>1324.1</v>
      </c>
    </row>
    <row r="131" spans="1:4" ht="38.25">
      <c r="A131" s="78"/>
      <c r="B131" s="5" t="s">
        <v>56</v>
      </c>
      <c r="C131" s="20">
        <f>C132+C133</f>
        <v>25908.1</v>
      </c>
      <c r="D131" s="20">
        <f>D132+D133</f>
        <v>25405.57</v>
      </c>
    </row>
    <row r="132" spans="1:6" ht="12.75">
      <c r="A132" s="78"/>
      <c r="B132" s="5" t="s">
        <v>52</v>
      </c>
      <c r="C132" s="20">
        <f>C139</f>
        <v>829</v>
      </c>
      <c r="D132" s="20">
        <f>D139</f>
        <v>829</v>
      </c>
      <c r="E132" s="58">
        <v>3049035</v>
      </c>
      <c r="F132" s="58">
        <v>349035</v>
      </c>
    </row>
    <row r="133" spans="1:4" ht="12.75">
      <c r="A133" s="79"/>
      <c r="B133" s="5" t="s">
        <v>54</v>
      </c>
      <c r="C133" s="20">
        <f>C140+C141+C142+C143+C144+C145+C146+C147+C148+C150+C154</f>
        <v>25079.1</v>
      </c>
      <c r="D133" s="20">
        <f>D140+D141+D142+D143+D144+D145+D146+D147+D148+D150+D154</f>
        <v>24576.57</v>
      </c>
    </row>
    <row r="134" spans="1:4" ht="25.5" hidden="1">
      <c r="A134" s="48" t="s">
        <v>115</v>
      </c>
      <c r="B134" s="4" t="s">
        <v>51</v>
      </c>
      <c r="C134" s="16"/>
      <c r="D134" s="16"/>
    </row>
    <row r="135" spans="1:4" ht="38.25">
      <c r="A135" s="48" t="s">
        <v>95</v>
      </c>
      <c r="B135" s="4" t="s">
        <v>51</v>
      </c>
      <c r="C135" s="16">
        <f>'4 месяца'!C135+'8 месяцев'!C135</f>
        <v>262.8</v>
      </c>
      <c r="D135" s="16">
        <f>'4 месяца'!D135+'8 месяцев'!D135</f>
        <v>258</v>
      </c>
    </row>
    <row r="136" spans="1:4" ht="51">
      <c r="A136" s="48" t="s">
        <v>116</v>
      </c>
      <c r="B136" s="4" t="s">
        <v>51</v>
      </c>
      <c r="C136" s="16">
        <f>'4 месяца'!C136+'8 месяцев'!C136</f>
        <v>592.2</v>
      </c>
      <c r="D136" s="16">
        <f>'4 месяца'!D136+'8 месяцев'!D136</f>
        <v>481.6</v>
      </c>
    </row>
    <row r="137" spans="1:4" ht="51">
      <c r="A137" s="48" t="s">
        <v>117</v>
      </c>
      <c r="B137" s="4" t="s">
        <v>51</v>
      </c>
      <c r="C137" s="16">
        <f>'4 месяца'!C137+'8 месяцев'!C137</f>
        <v>544.2</v>
      </c>
      <c r="D137" s="16">
        <f>'4 месяца'!D137+'8 месяцев'!D137</f>
        <v>541.5</v>
      </c>
    </row>
    <row r="138" spans="1:4" ht="54" customHeight="1" hidden="1">
      <c r="A138" s="48" t="s">
        <v>161</v>
      </c>
      <c r="B138" s="4" t="s">
        <v>51</v>
      </c>
      <c r="C138" s="16">
        <f>'4 месяца'!C138+'8 месяцев'!C138</f>
        <v>0</v>
      </c>
      <c r="D138" s="16">
        <f>'4 месяца'!D138+'8 месяцев'!D138</f>
        <v>0</v>
      </c>
    </row>
    <row r="139" spans="1:4" ht="38.25">
      <c r="A139" s="49" t="s">
        <v>31</v>
      </c>
      <c r="B139" s="10" t="s">
        <v>52</v>
      </c>
      <c r="C139" s="16">
        <f>'4 месяца'!C139+'8 месяцев'!C139</f>
        <v>829</v>
      </c>
      <c r="D139" s="16">
        <f>'4 месяца'!D139+'8 месяцев'!D139</f>
        <v>829</v>
      </c>
    </row>
    <row r="140" spans="1:4" ht="51">
      <c r="A140" s="48" t="s">
        <v>32</v>
      </c>
      <c r="B140" s="4" t="s">
        <v>54</v>
      </c>
      <c r="C140" s="16">
        <f>'4 месяца'!C140+'8 месяцев'!C140</f>
        <v>871.6</v>
      </c>
      <c r="D140" s="16">
        <f>'4 месяца'!D140+'8 месяцев'!D140</f>
        <v>835.6</v>
      </c>
    </row>
    <row r="141" spans="1:4" ht="25.5" hidden="1">
      <c r="A141" s="48" t="s">
        <v>33</v>
      </c>
      <c r="B141" s="4" t="s">
        <v>54</v>
      </c>
      <c r="C141" s="16">
        <f>'4 месяца'!C141+'8 месяцев'!C141</f>
        <v>0</v>
      </c>
      <c r="D141" s="16">
        <f>'4 месяца'!D141+'8 месяцев'!D141</f>
        <v>0</v>
      </c>
    </row>
    <row r="142" spans="1:4" ht="39.75" customHeight="1">
      <c r="A142" s="48" t="s">
        <v>119</v>
      </c>
      <c r="B142" s="4" t="s">
        <v>54</v>
      </c>
      <c r="C142" s="16">
        <f>'4 месяца'!C142+'8 месяцев'!C142</f>
        <v>1472</v>
      </c>
      <c r="D142" s="16">
        <f>'4 месяца'!D142+'8 месяцев'!D142</f>
        <v>1331.7</v>
      </c>
    </row>
    <row r="143" spans="1:4" ht="51">
      <c r="A143" s="48" t="s">
        <v>120</v>
      </c>
      <c r="B143" s="4" t="s">
        <v>54</v>
      </c>
      <c r="C143" s="16">
        <f>'4 месяца'!C143+'8 месяцев'!C143</f>
        <v>36</v>
      </c>
      <c r="D143" s="16">
        <f>'4 месяца'!D143+'8 месяцев'!D143</f>
        <v>36</v>
      </c>
    </row>
    <row r="144" spans="1:4" ht="25.5">
      <c r="A144" s="48" t="s">
        <v>96</v>
      </c>
      <c r="B144" s="4" t="s">
        <v>54</v>
      </c>
      <c r="C144" s="16">
        <f>'4 месяца'!C144+'8 месяцев'!C144</f>
        <v>2547.4</v>
      </c>
      <c r="D144" s="16">
        <f>'4 месяца'!D144+'8 месяцев'!D144</f>
        <v>2290.6</v>
      </c>
    </row>
    <row r="145" spans="1:4" ht="38.25">
      <c r="A145" s="48" t="s">
        <v>121</v>
      </c>
      <c r="B145" s="4" t="s">
        <v>54</v>
      </c>
      <c r="C145" s="16">
        <f>'4 месяца'!C145+'8 месяцев'!C145</f>
        <v>261.8</v>
      </c>
      <c r="D145" s="16">
        <f>'4 месяца'!D145+'8 месяцев'!D145</f>
        <v>245.7</v>
      </c>
    </row>
    <row r="146" spans="1:4" ht="87.75" customHeight="1" hidden="1">
      <c r="A146" s="48" t="s">
        <v>122</v>
      </c>
      <c r="B146" s="4" t="s">
        <v>54</v>
      </c>
      <c r="C146" s="16">
        <f>'4 месяца'!C146+'8 месяцев'!C146</f>
        <v>0</v>
      </c>
      <c r="D146" s="16">
        <f>'4 месяца'!D146+'8 месяцев'!D146</f>
        <v>0</v>
      </c>
    </row>
    <row r="147" spans="1:4" ht="141.75" customHeight="1">
      <c r="A147" s="48" t="s">
        <v>203</v>
      </c>
      <c r="B147" s="4" t="s">
        <v>54</v>
      </c>
      <c r="C147" s="16">
        <f>'4 месяца'!C147+'8 месяцев'!C147</f>
        <v>17419.3</v>
      </c>
      <c r="D147" s="16">
        <f>'4 месяца'!D147+'8 месяцев'!D147</f>
        <v>17412.27</v>
      </c>
    </row>
    <row r="148" spans="1:4" ht="111.75" customHeight="1">
      <c r="A148" s="48" t="s">
        <v>204</v>
      </c>
      <c r="B148" s="4" t="s">
        <v>54</v>
      </c>
      <c r="C148" s="16">
        <f>'4 месяца'!C148+'8 месяцев'!C148</f>
        <v>50</v>
      </c>
      <c r="D148" s="16">
        <f>'4 месяца'!D148+'8 месяцев'!D148</f>
        <v>50</v>
      </c>
    </row>
    <row r="149" spans="1:4" ht="25.5">
      <c r="A149" s="73" t="s">
        <v>33</v>
      </c>
      <c r="B149" s="4" t="s">
        <v>51</v>
      </c>
      <c r="C149" s="16">
        <f>'4 месяца'!C149+'8 месяцев'!C149</f>
        <v>43</v>
      </c>
      <c r="D149" s="16">
        <f>'4 месяца'!D149+'8 месяцев'!D149</f>
        <v>43</v>
      </c>
    </row>
    <row r="150" spans="1:4" ht="12.75">
      <c r="A150" s="74"/>
      <c r="B150" s="4" t="s">
        <v>54</v>
      </c>
      <c r="C150" s="16">
        <f>'8 месяцев'!C150</f>
        <v>411</v>
      </c>
      <c r="D150" s="16">
        <f>'8 месяцев'!D150</f>
        <v>411</v>
      </c>
    </row>
    <row r="151" spans="1:6" ht="12.75">
      <c r="A151" s="100" t="s">
        <v>190</v>
      </c>
      <c r="B151" s="27" t="s">
        <v>50</v>
      </c>
      <c r="C151" s="33">
        <f aca="true" t="shared" si="1" ref="C151:D153">C152</f>
        <v>2010</v>
      </c>
      <c r="D151" s="33">
        <f t="shared" si="1"/>
        <v>1963.7000000000003</v>
      </c>
      <c r="E151" s="58">
        <v>3660000</v>
      </c>
      <c r="F151" s="58">
        <v>3268043.4</v>
      </c>
    </row>
    <row r="152" spans="1:4" ht="38.25">
      <c r="A152" s="101"/>
      <c r="B152" s="27" t="s">
        <v>56</v>
      </c>
      <c r="C152" s="34">
        <f t="shared" si="1"/>
        <v>2010</v>
      </c>
      <c r="D152" s="34">
        <f t="shared" si="1"/>
        <v>1963.7000000000003</v>
      </c>
    </row>
    <row r="153" spans="1:4" ht="12.75">
      <c r="A153" s="102"/>
      <c r="B153" s="27" t="s">
        <v>54</v>
      </c>
      <c r="C153" s="34">
        <f t="shared" si="1"/>
        <v>2010</v>
      </c>
      <c r="D153" s="34">
        <f t="shared" si="1"/>
        <v>1963.7000000000003</v>
      </c>
    </row>
    <row r="154" spans="1:8" s="11" customFormat="1" ht="63.75">
      <c r="A154" s="49" t="s">
        <v>118</v>
      </c>
      <c r="B154" s="10" t="s">
        <v>54</v>
      </c>
      <c r="C154" s="21">
        <f>'4 месяца'!C153+'8 месяцев'!C154</f>
        <v>2010</v>
      </c>
      <c r="D154" s="21">
        <f>'4 месяца'!D153+'8 месяцев'!D154</f>
        <v>1963.7000000000003</v>
      </c>
      <c r="E154" s="60"/>
      <c r="F154" s="60"/>
      <c r="G154" s="60"/>
      <c r="H154" s="60"/>
    </row>
    <row r="155" spans="1:4" ht="33.75" customHeight="1" hidden="1">
      <c r="A155" s="77" t="s">
        <v>37</v>
      </c>
      <c r="B155" s="5" t="s">
        <v>50</v>
      </c>
      <c r="C155" s="20">
        <f>C156+C157</f>
        <v>0</v>
      </c>
      <c r="D155" s="20">
        <f>D156+D157</f>
        <v>0</v>
      </c>
    </row>
    <row r="156" spans="1:4" ht="25.5" hidden="1">
      <c r="A156" s="78"/>
      <c r="B156" s="5" t="s">
        <v>51</v>
      </c>
      <c r="C156" s="20">
        <f>C160+C161+C162</f>
        <v>0</v>
      </c>
      <c r="D156" s="20">
        <f>D160+D161+D162</f>
        <v>0</v>
      </c>
    </row>
    <row r="157" spans="1:4" ht="38.25" hidden="1">
      <c r="A157" s="78"/>
      <c r="B157" s="5" t="s">
        <v>56</v>
      </c>
      <c r="C157" s="20">
        <f>C158</f>
        <v>0</v>
      </c>
      <c r="D157" s="20">
        <f>D158</f>
        <v>0</v>
      </c>
    </row>
    <row r="158" spans="1:4" ht="12.75" hidden="1">
      <c r="A158" s="79"/>
      <c r="B158" s="5" t="s">
        <v>54</v>
      </c>
      <c r="C158" s="20">
        <f>C159</f>
        <v>0</v>
      </c>
      <c r="D158" s="20">
        <f>D159</f>
        <v>0</v>
      </c>
    </row>
    <row r="159" spans="1:4" ht="25.5" hidden="1">
      <c r="A159" s="48" t="s">
        <v>34</v>
      </c>
      <c r="B159" s="4" t="s">
        <v>54</v>
      </c>
      <c r="C159" s="16">
        <v>0</v>
      </c>
      <c r="D159" s="16">
        <v>0</v>
      </c>
    </row>
    <row r="160" spans="1:4" ht="25.5" hidden="1">
      <c r="A160" s="48" t="s">
        <v>123</v>
      </c>
      <c r="B160" s="4" t="s">
        <v>144</v>
      </c>
      <c r="C160" s="16">
        <v>0</v>
      </c>
      <c r="D160" s="16">
        <v>0</v>
      </c>
    </row>
    <row r="161" spans="1:4" ht="25.5" hidden="1">
      <c r="A161" s="40" t="s">
        <v>145</v>
      </c>
      <c r="B161" s="4" t="s">
        <v>144</v>
      </c>
      <c r="C161" s="16">
        <v>0</v>
      </c>
      <c r="D161" s="16">
        <v>0</v>
      </c>
    </row>
    <row r="162" spans="1:4" ht="38.25" hidden="1">
      <c r="A162" s="48" t="s">
        <v>162</v>
      </c>
      <c r="B162" s="4" t="s">
        <v>144</v>
      </c>
      <c r="C162" s="16">
        <v>0</v>
      </c>
      <c r="D162" s="16">
        <v>0</v>
      </c>
    </row>
    <row r="163" spans="1:4" ht="33.75" customHeight="1">
      <c r="A163" s="77" t="s">
        <v>36</v>
      </c>
      <c r="B163" s="5" t="s">
        <v>50</v>
      </c>
      <c r="C163" s="20">
        <f>C164+C165</f>
        <v>38775</v>
      </c>
      <c r="D163" s="20">
        <f>D164+D165</f>
        <v>37166.299999999996</v>
      </c>
    </row>
    <row r="164" spans="1:4" ht="25.5">
      <c r="A164" s="78"/>
      <c r="B164" s="5" t="s">
        <v>51</v>
      </c>
      <c r="C164" s="20">
        <f>C167</f>
        <v>35952.6</v>
      </c>
      <c r="D164" s="20">
        <f>D167</f>
        <v>34344.2</v>
      </c>
    </row>
    <row r="165" spans="1:4" ht="38.25">
      <c r="A165" s="78"/>
      <c r="B165" s="5" t="s">
        <v>56</v>
      </c>
      <c r="C165" s="20">
        <f>C166</f>
        <v>2822.4</v>
      </c>
      <c r="D165" s="20">
        <f>D166</f>
        <v>2822.1</v>
      </c>
    </row>
    <row r="166" spans="1:4" ht="12.75">
      <c r="A166" s="79"/>
      <c r="B166" s="5" t="s">
        <v>54</v>
      </c>
      <c r="C166" s="20">
        <f>C168</f>
        <v>2822.4</v>
      </c>
      <c r="D166" s="20">
        <f>D168</f>
        <v>2822.1</v>
      </c>
    </row>
    <row r="167" spans="1:4" ht="25.5">
      <c r="A167" s="48" t="s">
        <v>35</v>
      </c>
      <c r="B167" s="4" t="s">
        <v>51</v>
      </c>
      <c r="C167" s="16">
        <f>'4 месяца'!C166+'8 месяцев'!C167</f>
        <v>35952.6</v>
      </c>
      <c r="D167" s="16">
        <f>'4 месяца'!D166+'8 месяцев'!D167</f>
        <v>34344.2</v>
      </c>
    </row>
    <row r="168" spans="1:8" s="11" customFormat="1" ht="133.5" customHeight="1">
      <c r="A168" s="49" t="s">
        <v>173</v>
      </c>
      <c r="B168" s="10" t="s">
        <v>54</v>
      </c>
      <c r="C168" s="16">
        <f>'4 месяца'!C167+'8 месяцев'!C168</f>
        <v>2822.4</v>
      </c>
      <c r="D168" s="16">
        <f>'4 месяца'!D167+'8 месяцев'!D168</f>
        <v>2822.1</v>
      </c>
      <c r="E168" s="60"/>
      <c r="F168" s="60"/>
      <c r="G168" s="60"/>
      <c r="H168" s="60"/>
    </row>
    <row r="169" spans="1:4" ht="38.25" customHeight="1">
      <c r="A169" s="105" t="s">
        <v>38</v>
      </c>
      <c r="B169" s="3" t="s">
        <v>50</v>
      </c>
      <c r="C169" s="14">
        <f>C170+C171</f>
        <v>172850.59999999998</v>
      </c>
      <c r="D169" s="14">
        <f>D170+D171</f>
        <v>167809.19999999995</v>
      </c>
    </row>
    <row r="170" spans="1:10" ht="25.5">
      <c r="A170" s="106"/>
      <c r="B170" s="3" t="s">
        <v>51</v>
      </c>
      <c r="C170" s="14">
        <f>C174+C176+C179+C181+C182+C183+C184+C185+C177+C178+C180+C190+C193+C187+C195+C175</f>
        <v>167245.19999999998</v>
      </c>
      <c r="D170" s="14">
        <f>D174+D176+D179+D181+D182+D183+D184+D185+D177+D178+D180+D190+D193+D187+D195+D175</f>
        <v>162242.79999999996</v>
      </c>
      <c r="J170" s="66"/>
    </row>
    <row r="171" spans="1:4" ht="38.25">
      <c r="A171" s="106"/>
      <c r="B171" s="3" t="s">
        <v>56</v>
      </c>
      <c r="C171" s="14">
        <f>C172+C173</f>
        <v>5605.4</v>
      </c>
      <c r="D171" s="14">
        <f>D172+D173</f>
        <v>5566.4</v>
      </c>
    </row>
    <row r="172" spans="1:4" ht="12.75">
      <c r="A172" s="106"/>
      <c r="B172" s="3" t="s">
        <v>54</v>
      </c>
      <c r="C172" s="14">
        <f>C186+C188+C189+C192+C194</f>
        <v>4609.4</v>
      </c>
      <c r="D172" s="14">
        <f>D186+D188+D189+D192+D194</f>
        <v>4570.4</v>
      </c>
    </row>
    <row r="173" spans="1:4" ht="12.75">
      <c r="A173" s="107"/>
      <c r="B173" s="3" t="s">
        <v>52</v>
      </c>
      <c r="C173" s="14">
        <f>C191</f>
        <v>996</v>
      </c>
      <c r="D173" s="14">
        <f>D191</f>
        <v>996</v>
      </c>
    </row>
    <row r="174" spans="1:4" ht="25.5">
      <c r="A174" s="48" t="s">
        <v>124</v>
      </c>
      <c r="B174" s="4" t="s">
        <v>51</v>
      </c>
      <c r="C174" s="16">
        <f>'4 месяца'!C173+'8 месяцев'!C174</f>
        <v>2166.2</v>
      </c>
      <c r="D174" s="22">
        <f>'4 месяца'!D173+'8 месяцев'!D174</f>
        <v>2143.8</v>
      </c>
    </row>
    <row r="175" spans="1:4" ht="25.5">
      <c r="A175" s="48" t="s">
        <v>255</v>
      </c>
      <c r="B175" s="4" t="s">
        <v>51</v>
      </c>
      <c r="C175" s="16">
        <f>'4 месяца'!C174+'8 месяцев'!C175</f>
        <v>34.9</v>
      </c>
      <c r="D175" s="22">
        <f>'4 месяца'!D174+'8 месяцев'!D175</f>
        <v>34.8</v>
      </c>
    </row>
    <row r="176" spans="1:4" ht="51">
      <c r="A176" s="48" t="s">
        <v>125</v>
      </c>
      <c r="B176" s="4" t="s">
        <v>51</v>
      </c>
      <c r="C176" s="16">
        <f>'4 месяца'!C175+'8 месяцев'!C176</f>
        <v>9.1</v>
      </c>
      <c r="D176" s="22">
        <f>'4 месяца'!D175+'8 месяцев'!D176</f>
        <v>9</v>
      </c>
    </row>
    <row r="177" spans="1:4" ht="36" customHeight="1">
      <c r="A177" s="48" t="s">
        <v>163</v>
      </c>
      <c r="B177" s="4" t="s">
        <v>51</v>
      </c>
      <c r="C177" s="16">
        <f>'4 месяца'!C176+'8 месяцев'!C177</f>
        <v>74</v>
      </c>
      <c r="D177" s="22">
        <f>'4 месяца'!D176+'8 месяцев'!D177</f>
        <v>74</v>
      </c>
    </row>
    <row r="178" spans="1:4" ht="36" customHeight="1" hidden="1">
      <c r="A178" s="48" t="s">
        <v>164</v>
      </c>
      <c r="B178" s="4" t="s">
        <v>51</v>
      </c>
      <c r="C178" s="16">
        <f>'4 месяца'!C177+'8 месяцев'!C178</f>
        <v>0</v>
      </c>
      <c r="D178" s="22">
        <f>'4 месяца'!D177+'8 месяцев'!D178</f>
        <v>0</v>
      </c>
    </row>
    <row r="179" spans="1:4" ht="25.5">
      <c r="A179" s="48" t="s">
        <v>126</v>
      </c>
      <c r="B179" s="4" t="s">
        <v>51</v>
      </c>
      <c r="C179" s="16">
        <f>'4 месяца'!C178+'8 месяцев'!C179</f>
        <v>52.8</v>
      </c>
      <c r="D179" s="22">
        <f>'4 месяца'!D178+'8 месяцев'!D179</f>
        <v>52.6</v>
      </c>
    </row>
    <row r="180" spans="1:4" ht="25.5">
      <c r="A180" s="48" t="s">
        <v>168</v>
      </c>
      <c r="B180" s="4" t="s">
        <v>51</v>
      </c>
      <c r="C180" s="16">
        <f>'4 месяца'!C179+'8 месяцев'!C180</f>
        <v>11796.3</v>
      </c>
      <c r="D180" s="22">
        <f>'4 месяца'!D179+'8 месяцев'!D180</f>
        <v>11455.7</v>
      </c>
    </row>
    <row r="181" spans="1:4" ht="25.5">
      <c r="A181" s="48" t="s">
        <v>103</v>
      </c>
      <c r="B181" s="4" t="s">
        <v>51</v>
      </c>
      <c r="C181" s="16">
        <f>'4 месяца'!C180+'8 месяцев'!C181</f>
        <v>77742.8</v>
      </c>
      <c r="D181" s="22">
        <f>'4 месяца'!D180+'8 месяцев'!D181</f>
        <v>75517.3</v>
      </c>
    </row>
    <row r="182" spans="1:4" ht="25.5">
      <c r="A182" s="48" t="s">
        <v>256</v>
      </c>
      <c r="B182" s="4" t="s">
        <v>51</v>
      </c>
      <c r="C182" s="16">
        <f>'4 месяца'!C181+'8 месяцев'!C182</f>
        <v>45350.3</v>
      </c>
      <c r="D182" s="22">
        <f>'4 месяца'!D181+'8 месяцев'!D182</f>
        <v>44043.1</v>
      </c>
    </row>
    <row r="183" spans="1:4" ht="25.5">
      <c r="A183" s="48" t="s">
        <v>127</v>
      </c>
      <c r="B183" s="4" t="s">
        <v>51</v>
      </c>
      <c r="C183" s="16">
        <f>'4 месяца'!C182+'8 месяцев'!C183</f>
        <v>3758.2</v>
      </c>
      <c r="D183" s="22">
        <f>'4 месяца'!D182+'8 месяцев'!D183</f>
        <v>3601.4</v>
      </c>
    </row>
    <row r="184" spans="1:4" ht="25.5">
      <c r="A184" s="48" t="s">
        <v>128</v>
      </c>
      <c r="B184" s="4" t="s">
        <v>51</v>
      </c>
      <c r="C184" s="16">
        <f>'4 месяца'!C183+'8 месяцев'!C184</f>
        <v>13654.7</v>
      </c>
      <c r="D184" s="22">
        <f>'4 месяца'!D183+'8 месяцев'!D184</f>
        <v>13173.5</v>
      </c>
    </row>
    <row r="185" spans="1:4" ht="25.5">
      <c r="A185" s="48" t="s">
        <v>35</v>
      </c>
      <c r="B185" s="4" t="s">
        <v>51</v>
      </c>
      <c r="C185" s="16">
        <f>'4 месяца'!C184+'8 месяцев'!C185</f>
        <v>12252.1</v>
      </c>
      <c r="D185" s="22">
        <f>'4 месяца'!D184+'8 месяцев'!D185</f>
        <v>11810</v>
      </c>
    </row>
    <row r="186" spans="1:4" ht="39" customHeight="1">
      <c r="A186" s="108" t="s">
        <v>129</v>
      </c>
      <c r="B186" s="4" t="s">
        <v>54</v>
      </c>
      <c r="C186" s="16">
        <f>'4 месяца'!C185+'8 месяцев'!C186</f>
        <v>3400.4</v>
      </c>
      <c r="D186" s="22">
        <f>'4 месяца'!D185+'8 месяцев'!D186</f>
        <v>3361.9</v>
      </c>
    </row>
    <row r="187" spans="1:4" ht="25.5">
      <c r="A187" s="110"/>
      <c r="B187" s="4" t="s">
        <v>51</v>
      </c>
      <c r="C187" s="16">
        <f>'4 месяца'!C186+'8 месяцев'!C187</f>
        <v>254</v>
      </c>
      <c r="D187" s="22">
        <f>'4 месяца'!D186+'8 месяцев'!D187</f>
        <v>227.8</v>
      </c>
    </row>
    <row r="188" spans="1:4" ht="25.5">
      <c r="A188" s="48" t="s">
        <v>119</v>
      </c>
      <c r="B188" s="4" t="s">
        <v>54</v>
      </c>
      <c r="C188" s="16">
        <f>'4 месяца'!C187+'8 месяцев'!C188</f>
        <v>885</v>
      </c>
      <c r="D188" s="22">
        <f>'4 месяца'!D187+'8 месяцев'!D188</f>
        <v>884.5</v>
      </c>
    </row>
    <row r="189" spans="1:4" ht="26.25" customHeight="1">
      <c r="A189" s="73" t="s">
        <v>233</v>
      </c>
      <c r="B189" s="4" t="s">
        <v>54</v>
      </c>
      <c r="C189" s="16">
        <f>'4 месяца'!C188+'8 месяцев'!C189</f>
        <v>70</v>
      </c>
      <c r="D189" s="22">
        <f>'4 месяца'!D188+'8 месяцев'!D189</f>
        <v>70</v>
      </c>
    </row>
    <row r="190" spans="1:4" ht="25.5">
      <c r="A190" s="74"/>
      <c r="B190" s="4" t="s">
        <v>51</v>
      </c>
      <c r="C190" s="16">
        <f>'4 месяца'!C189+'8 месяцев'!C190</f>
        <v>5.6</v>
      </c>
      <c r="D190" s="22">
        <f>'4 месяца'!D189+'8 месяцев'!D190</f>
        <v>5.6</v>
      </c>
    </row>
    <row r="191" spans="1:4" ht="12.75">
      <c r="A191" s="73" t="s">
        <v>238</v>
      </c>
      <c r="B191" s="4" t="s">
        <v>52</v>
      </c>
      <c r="C191" s="16">
        <f>'4 месяца'!C190+'8 месяцев'!C191</f>
        <v>996</v>
      </c>
      <c r="D191" s="22">
        <f>'4 месяца'!D190+'8 месяцев'!D191</f>
        <v>996</v>
      </c>
    </row>
    <row r="192" spans="1:4" ht="44.25" customHeight="1">
      <c r="A192" s="86"/>
      <c r="B192" s="4" t="s">
        <v>54</v>
      </c>
      <c r="C192" s="16">
        <f>'4 месяца'!C191+'8 месяцев'!C192</f>
        <v>204</v>
      </c>
      <c r="D192" s="22">
        <f>'4 месяца'!D191+'8 месяцев'!D192</f>
        <v>204</v>
      </c>
    </row>
    <row r="193" spans="1:4" ht="27.75" customHeight="1">
      <c r="A193" s="74"/>
      <c r="B193" s="4" t="s">
        <v>51</v>
      </c>
      <c r="C193" s="16">
        <f>'4 месяца'!C192+'8 месяцев'!C193</f>
        <v>90.4</v>
      </c>
      <c r="D193" s="22">
        <f>'4 месяца'!D192+'8 месяцев'!D193</f>
        <v>90.4</v>
      </c>
    </row>
    <row r="194" spans="1:4" ht="24" customHeight="1">
      <c r="A194" s="73" t="s">
        <v>251</v>
      </c>
      <c r="B194" s="4" t="s">
        <v>54</v>
      </c>
      <c r="C194" s="16">
        <f>'4 месяца'!C193+'8 месяцев'!C194</f>
        <v>50</v>
      </c>
      <c r="D194" s="22">
        <f>'4 месяца'!D193+'8 месяцев'!D194</f>
        <v>50</v>
      </c>
    </row>
    <row r="195" spans="1:4" ht="24" customHeight="1">
      <c r="A195" s="86"/>
      <c r="B195" s="4" t="s">
        <v>51</v>
      </c>
      <c r="C195" s="16">
        <f>'4 месяца'!C194+'8 месяцев'!C195</f>
        <v>3.8</v>
      </c>
      <c r="D195" s="22">
        <f>'4 месяца'!D194+'8 месяцев'!D195</f>
        <v>3.8</v>
      </c>
    </row>
    <row r="196" spans="1:4" ht="12.75">
      <c r="A196" s="80" t="s">
        <v>149</v>
      </c>
      <c r="B196" s="3" t="s">
        <v>50</v>
      </c>
      <c r="C196" s="14">
        <f>C197+C198</f>
        <v>13995.000000000002</v>
      </c>
      <c r="D196" s="14">
        <f>D197+D198</f>
        <v>12284.8</v>
      </c>
    </row>
    <row r="197" spans="1:4" ht="42.75" customHeight="1">
      <c r="A197" s="81"/>
      <c r="B197" s="3" t="s">
        <v>51</v>
      </c>
      <c r="C197" s="14">
        <f>C201+C202+C203+C204</f>
        <v>13995.000000000002</v>
      </c>
      <c r="D197" s="14">
        <f>D201+D202+D203+D204</f>
        <v>12284.8</v>
      </c>
    </row>
    <row r="198" spans="1:4" ht="38.25" hidden="1">
      <c r="A198" s="81"/>
      <c r="B198" s="3" t="s">
        <v>56</v>
      </c>
      <c r="C198" s="14">
        <f>C199+C200</f>
        <v>0</v>
      </c>
      <c r="D198" s="14">
        <f>D199+D200</f>
        <v>0</v>
      </c>
    </row>
    <row r="199" spans="1:4" ht="12.75" hidden="1">
      <c r="A199" s="81"/>
      <c r="B199" s="3" t="s">
        <v>52</v>
      </c>
      <c r="C199" s="14"/>
      <c r="D199" s="14"/>
    </row>
    <row r="200" spans="1:4" ht="12.75" hidden="1">
      <c r="A200" s="82"/>
      <c r="B200" s="3" t="s">
        <v>54</v>
      </c>
      <c r="C200" s="14"/>
      <c r="D200" s="14"/>
    </row>
    <row r="201" spans="1:4" ht="25.5">
      <c r="A201" s="50" t="s">
        <v>231</v>
      </c>
      <c r="B201" s="4" t="s">
        <v>51</v>
      </c>
      <c r="C201" s="23">
        <f>'4 месяца'!C200+'8 месяцев'!C201</f>
        <v>10132.7</v>
      </c>
      <c r="D201" s="23">
        <f>'4 месяца'!D200+'8 месяцев'!D201</f>
        <v>10108.4</v>
      </c>
    </row>
    <row r="202" spans="1:4" ht="25.5">
      <c r="A202" s="50" t="s">
        <v>146</v>
      </c>
      <c r="B202" s="4" t="s">
        <v>51</v>
      </c>
      <c r="C202" s="23">
        <f>'4 месяца'!C201+'8 месяцев'!C202</f>
        <v>450</v>
      </c>
      <c r="D202" s="23">
        <f>'4 месяца'!D201+'8 месяцев'!D202</f>
        <v>110</v>
      </c>
    </row>
    <row r="203" spans="1:4" ht="25.5">
      <c r="A203" s="50" t="s">
        <v>147</v>
      </c>
      <c r="B203" s="4" t="s">
        <v>51</v>
      </c>
      <c r="C203" s="23">
        <f>'4 месяца'!C202+'8 месяцев'!C203</f>
        <v>2292.2</v>
      </c>
      <c r="D203" s="23">
        <f>'4 месяца'!D202+'8 месяцев'!D203</f>
        <v>1175.8</v>
      </c>
    </row>
    <row r="204" spans="1:4" ht="25.5">
      <c r="A204" s="50" t="s">
        <v>148</v>
      </c>
      <c r="B204" s="4" t="s">
        <v>51</v>
      </c>
      <c r="C204" s="23">
        <f>'4 месяца'!C203+'8 месяцев'!C204</f>
        <v>1120.1</v>
      </c>
      <c r="D204" s="23">
        <f>'4 месяца'!D203+'8 месяцев'!D204</f>
        <v>890.6</v>
      </c>
    </row>
    <row r="205" spans="1:4" ht="38.25" customHeight="1">
      <c r="A205" s="80" t="s">
        <v>78</v>
      </c>
      <c r="B205" s="3" t="s">
        <v>50</v>
      </c>
      <c r="C205" s="14">
        <f>C206+C207</f>
        <v>143168.3</v>
      </c>
      <c r="D205" s="14">
        <f>D206+D207</f>
        <v>143103</v>
      </c>
    </row>
    <row r="206" spans="1:4" ht="25.5">
      <c r="A206" s="81"/>
      <c r="B206" s="3" t="s">
        <v>51</v>
      </c>
      <c r="C206" s="14">
        <f>C211+C245+C260+C266</f>
        <v>8766.799999999997</v>
      </c>
      <c r="D206" s="14">
        <f>D211+D245+D260+D266</f>
        <v>8766.3</v>
      </c>
    </row>
    <row r="207" spans="1:4" ht="38.25">
      <c r="A207" s="81"/>
      <c r="B207" s="3" t="s">
        <v>56</v>
      </c>
      <c r="C207" s="14">
        <f>C212+C246+C261+C267</f>
        <v>134401.5</v>
      </c>
      <c r="D207" s="14">
        <f>D212+D246+D261+D267</f>
        <v>134336.7</v>
      </c>
    </row>
    <row r="208" spans="1:10" ht="12.75">
      <c r="A208" s="81"/>
      <c r="B208" s="3" t="s">
        <v>52</v>
      </c>
      <c r="C208" s="14">
        <f>C213+C248</f>
        <v>6497.6</v>
      </c>
      <c r="D208" s="14">
        <f>D213+D248</f>
        <v>6497.6</v>
      </c>
      <c r="J208" s="66"/>
    </row>
    <row r="209" spans="1:4" ht="12.75">
      <c r="A209" s="82"/>
      <c r="B209" s="3" t="s">
        <v>54</v>
      </c>
      <c r="C209" s="14">
        <f>C214+C247+C262</f>
        <v>127903.90000000001</v>
      </c>
      <c r="D209" s="14">
        <f>D214+D247+D262</f>
        <v>127839.1</v>
      </c>
    </row>
    <row r="210" spans="1:4" ht="33.75" customHeight="1">
      <c r="A210" s="77" t="s">
        <v>79</v>
      </c>
      <c r="B210" s="5" t="s">
        <v>50</v>
      </c>
      <c r="C210" s="20">
        <f>C211+C212</f>
        <v>15759.8</v>
      </c>
      <c r="D210" s="20">
        <f>D211+D212</f>
        <v>15725.5</v>
      </c>
    </row>
    <row r="211" spans="1:4" ht="25.5">
      <c r="A211" s="78"/>
      <c r="B211" s="5" t="s">
        <v>51</v>
      </c>
      <c r="C211" s="20">
        <f>C215+C216+C217+C218+C219+C220</f>
        <v>6564.199999999999</v>
      </c>
      <c r="D211" s="20">
        <f>D215+D216+D217+D218+D219+D220</f>
        <v>6564.000000000001</v>
      </c>
    </row>
    <row r="212" spans="1:4" ht="38.25">
      <c r="A212" s="78"/>
      <c r="B212" s="5" t="s">
        <v>56</v>
      </c>
      <c r="C212" s="20">
        <f>C213+C214</f>
        <v>9195.6</v>
      </c>
      <c r="D212" s="20">
        <f>D213+D214</f>
        <v>9161.5</v>
      </c>
    </row>
    <row r="213" spans="1:10" ht="12.75" hidden="1">
      <c r="A213" s="78"/>
      <c r="B213" s="5" t="s">
        <v>52</v>
      </c>
      <c r="C213" s="20">
        <f>C221+C222+C223+C224+C225+C226+C242</f>
        <v>0</v>
      </c>
      <c r="D213" s="20">
        <f>D221+D222+D223+D224+D225+D226+D242</f>
        <v>0</v>
      </c>
      <c r="J213" s="66"/>
    </row>
    <row r="214" spans="1:4" ht="12.75">
      <c r="A214" s="79"/>
      <c r="B214" s="5" t="s">
        <v>54</v>
      </c>
      <c r="C214" s="20">
        <f>C227+C228+C229+C230+C231+C232+C233+C234+C235+C236+C237+C238+C241</f>
        <v>9195.6</v>
      </c>
      <c r="D214" s="20">
        <f>D227+D228+D229+D230+D231+D232+D233+D234+D235+D236+D237+D238+D241</f>
        <v>9161.5</v>
      </c>
    </row>
    <row r="215" spans="1:4" ht="38.25">
      <c r="A215" s="48" t="s">
        <v>130</v>
      </c>
      <c r="B215" s="4" t="s">
        <v>51</v>
      </c>
      <c r="C215" s="16">
        <f>'4 месяца'!C214+'8 месяцев'!C215</f>
        <v>5406.7</v>
      </c>
      <c r="D215" s="21">
        <f>'4 месяца'!D214+'8 месяцев'!D215</f>
        <v>5406.6</v>
      </c>
    </row>
    <row r="216" spans="1:4" ht="25.5">
      <c r="A216" s="48" t="s">
        <v>131</v>
      </c>
      <c r="B216" s="4" t="s">
        <v>51</v>
      </c>
      <c r="C216" s="16">
        <f>'4 месяца'!C215+'8 месяцев'!C216</f>
        <v>1109.1</v>
      </c>
      <c r="D216" s="21">
        <f>'4 месяца'!D215+'8 месяцев'!D216</f>
        <v>1109.1</v>
      </c>
    </row>
    <row r="217" spans="1:4" ht="25.5" hidden="1">
      <c r="A217" s="48" t="s">
        <v>98</v>
      </c>
      <c r="B217" s="4" t="s">
        <v>51</v>
      </c>
      <c r="C217" s="16">
        <f>'4 месяца'!C216+'8 месяцев'!C217</f>
        <v>0</v>
      </c>
      <c r="D217" s="21">
        <f>'4 месяца'!D216+'8 месяцев'!D217</f>
        <v>0</v>
      </c>
    </row>
    <row r="218" spans="1:4" ht="25.5" hidden="1">
      <c r="A218" s="48" t="s">
        <v>132</v>
      </c>
      <c r="B218" s="4" t="s">
        <v>51</v>
      </c>
      <c r="C218" s="16">
        <f>'4 месяца'!C217+'8 месяцев'!C218</f>
        <v>0</v>
      </c>
      <c r="D218" s="21">
        <f>'4 месяца'!D217+'8 месяцев'!D218</f>
        <v>0</v>
      </c>
    </row>
    <row r="219" spans="1:4" ht="25.5">
      <c r="A219" s="48" t="s">
        <v>133</v>
      </c>
      <c r="B219" s="4" t="s">
        <v>51</v>
      </c>
      <c r="C219" s="16">
        <f>'4 месяца'!C218+'8 месяцев'!C219</f>
        <v>48.4</v>
      </c>
      <c r="D219" s="21">
        <f>'4 месяца'!D218+'8 месяцев'!D219</f>
        <v>48.3</v>
      </c>
    </row>
    <row r="220" spans="1:4" ht="25.5" hidden="1">
      <c r="A220" s="48" t="s">
        <v>205</v>
      </c>
      <c r="B220" s="4" t="s">
        <v>51</v>
      </c>
      <c r="C220" s="16">
        <f>'4 месяца'!C219+'8 месяцев'!C220</f>
        <v>0</v>
      </c>
      <c r="D220" s="21">
        <f>'4 месяца'!D219+'8 месяцев'!D220</f>
        <v>0</v>
      </c>
    </row>
    <row r="221" spans="1:4" ht="54" customHeight="1" hidden="1">
      <c r="A221" s="48" t="s">
        <v>134</v>
      </c>
      <c r="B221" s="4" t="s">
        <v>52</v>
      </c>
      <c r="C221" s="16">
        <f>'4 месяца'!C220+'8 месяцев'!C221</f>
        <v>0</v>
      </c>
      <c r="D221" s="21">
        <f>'4 месяца'!D220+'8 месяцев'!D221</f>
        <v>0</v>
      </c>
    </row>
    <row r="222" spans="1:4" ht="38.25" hidden="1">
      <c r="A222" s="48" t="s">
        <v>135</v>
      </c>
      <c r="B222" s="4" t="s">
        <v>52</v>
      </c>
      <c r="C222" s="16">
        <f>'4 месяца'!C221+'8 месяцев'!C222</f>
        <v>0</v>
      </c>
      <c r="D222" s="21">
        <f>'4 месяца'!D221+'8 месяцев'!D222</f>
        <v>0</v>
      </c>
    </row>
    <row r="223" spans="1:4" ht="25.5" hidden="1">
      <c r="A223" s="48" t="s">
        <v>136</v>
      </c>
      <c r="B223" s="4" t="s">
        <v>52</v>
      </c>
      <c r="C223" s="16">
        <f>'4 месяца'!C222+'8 месяцев'!C223</f>
        <v>0</v>
      </c>
      <c r="D223" s="21">
        <f>'4 месяца'!D222+'8 месяцев'!D223</f>
        <v>0</v>
      </c>
    </row>
    <row r="224" spans="1:6" ht="89.25" hidden="1">
      <c r="A224" s="48" t="s">
        <v>137</v>
      </c>
      <c r="B224" s="4" t="s">
        <v>52</v>
      </c>
      <c r="C224" s="16">
        <f>'4 месяца'!C223+'8 месяцев'!C224</f>
        <v>0</v>
      </c>
      <c r="D224" s="21">
        <f>'4 месяца'!D223+'8 месяцев'!D224</f>
        <v>0</v>
      </c>
      <c r="F224" s="58">
        <v>231333.78</v>
      </c>
    </row>
    <row r="225" spans="1:6" ht="89.25" hidden="1">
      <c r="A225" s="48" t="s">
        <v>138</v>
      </c>
      <c r="B225" s="4" t="s">
        <v>52</v>
      </c>
      <c r="C225" s="16">
        <f>'4 месяца'!C224+'8 месяцев'!C225</f>
        <v>0</v>
      </c>
      <c r="D225" s="21">
        <f>'4 месяца'!D224+'8 месяцев'!D225</f>
        <v>0</v>
      </c>
      <c r="F225" s="58">
        <v>2063.97</v>
      </c>
    </row>
    <row r="226" spans="1:6" ht="127.5" hidden="1">
      <c r="A226" s="48" t="s">
        <v>139</v>
      </c>
      <c r="B226" s="4" t="s">
        <v>52</v>
      </c>
      <c r="C226" s="16">
        <f>'4 месяца'!C225+'8 месяцев'!C226</f>
        <v>0</v>
      </c>
      <c r="D226" s="21">
        <f>'4 месяца'!D225+'8 месяцев'!D226</f>
        <v>0</v>
      </c>
      <c r="F226" s="58">
        <v>11231368.26</v>
      </c>
    </row>
    <row r="227" spans="1:4" ht="63.75">
      <c r="A227" s="48" t="s">
        <v>140</v>
      </c>
      <c r="B227" s="4" t="s">
        <v>54</v>
      </c>
      <c r="C227" s="16">
        <f>'4 месяца'!C226+'8 месяцев'!C227</f>
        <v>2299.9</v>
      </c>
      <c r="D227" s="21">
        <f>'4 месяца'!D226+'8 месяцев'!D227</f>
        <v>2299.8</v>
      </c>
    </row>
    <row r="228" spans="1:4" ht="153" hidden="1">
      <c r="A228" s="48" t="s">
        <v>141</v>
      </c>
      <c r="B228" s="4" t="s">
        <v>54</v>
      </c>
      <c r="C228" s="16">
        <f>'4 месяца'!C227+'8 месяцев'!C228</f>
        <v>0</v>
      </c>
      <c r="D228" s="21">
        <f>'4 месяца'!D227+'8 месяцев'!D228</f>
        <v>0</v>
      </c>
    </row>
    <row r="229" spans="1:4" ht="89.25">
      <c r="A229" s="48" t="s">
        <v>142</v>
      </c>
      <c r="B229" s="4" t="s">
        <v>54</v>
      </c>
      <c r="C229" s="16">
        <f>'4 месяца'!C228+'8 месяцев'!C229</f>
        <v>259.8</v>
      </c>
      <c r="D229" s="21">
        <f>'4 месяца'!D228+'8 месяцев'!D229</f>
        <v>259.7</v>
      </c>
    </row>
    <row r="230" spans="1:4" ht="63.75">
      <c r="A230" s="48" t="s">
        <v>0</v>
      </c>
      <c r="B230" s="4" t="s">
        <v>54</v>
      </c>
      <c r="C230" s="16">
        <f>'4 месяца'!C229+'8 месяцев'!C230</f>
        <v>11.1</v>
      </c>
      <c r="D230" s="21">
        <f>'4 месяца'!D229+'8 месяцев'!D230</f>
        <v>11.1</v>
      </c>
    </row>
    <row r="231" spans="1:4" ht="51">
      <c r="A231" s="48" t="s">
        <v>1</v>
      </c>
      <c r="B231" s="4" t="s">
        <v>54</v>
      </c>
      <c r="C231" s="16">
        <f>'4 месяца'!C230+'8 месяцев'!C231</f>
        <v>12.1</v>
      </c>
      <c r="D231" s="21">
        <f>'4 месяца'!D230+'8 месяцев'!D231</f>
        <v>12.1</v>
      </c>
    </row>
    <row r="232" spans="1:4" ht="25.5" hidden="1">
      <c r="A232" s="48" t="s">
        <v>2</v>
      </c>
      <c r="B232" s="4" t="s">
        <v>54</v>
      </c>
      <c r="C232" s="16">
        <f>'4 месяца'!C231+'8 месяцев'!C232</f>
        <v>0</v>
      </c>
      <c r="D232" s="21">
        <f>'4 месяца'!D231+'8 месяцев'!D232</f>
        <v>0</v>
      </c>
    </row>
    <row r="233" spans="1:4" ht="114.75" hidden="1">
      <c r="A233" s="48" t="s">
        <v>206</v>
      </c>
      <c r="B233" s="4" t="s">
        <v>54</v>
      </c>
      <c r="C233" s="16">
        <f>'4 месяца'!C232+'8 месяцев'!C233</f>
        <v>0</v>
      </c>
      <c r="D233" s="21">
        <f>'4 месяца'!D232+'8 месяцев'!D233</f>
        <v>0</v>
      </c>
    </row>
    <row r="234" spans="1:4" ht="51" hidden="1">
      <c r="A234" s="48" t="s">
        <v>97</v>
      </c>
      <c r="B234" s="4" t="s">
        <v>54</v>
      </c>
      <c r="C234" s="16">
        <f>'4 месяца'!C233+'8 месяцев'!C234</f>
        <v>0</v>
      </c>
      <c r="D234" s="21">
        <f>'4 месяца'!D233+'8 месяцев'!D234</f>
        <v>0</v>
      </c>
    </row>
    <row r="235" spans="1:8" s="11" customFormat="1" ht="51" hidden="1">
      <c r="A235" s="49" t="s">
        <v>3</v>
      </c>
      <c r="B235" s="10" t="s">
        <v>54</v>
      </c>
      <c r="C235" s="16">
        <f>'4 месяца'!C234+'8 месяцев'!C235</f>
        <v>0</v>
      </c>
      <c r="D235" s="21">
        <f>'4 месяца'!D234+'8 месяцев'!D235</f>
        <v>0</v>
      </c>
      <c r="E235" s="60"/>
      <c r="F235" s="60"/>
      <c r="G235" s="60"/>
      <c r="H235" s="60"/>
    </row>
    <row r="236" spans="1:4" ht="76.5">
      <c r="A236" s="48" t="s">
        <v>207</v>
      </c>
      <c r="B236" s="4" t="s">
        <v>54</v>
      </c>
      <c r="C236" s="16">
        <f>'4 месяца'!C235+'8 месяцев'!C236</f>
        <v>433.4</v>
      </c>
      <c r="D236" s="21">
        <f>'4 месяца'!D235+'8 месяцев'!D236</f>
        <v>399.9</v>
      </c>
    </row>
    <row r="237" spans="1:4" ht="89.25" hidden="1">
      <c r="A237" s="48" t="s">
        <v>4</v>
      </c>
      <c r="B237" s="4" t="s">
        <v>54</v>
      </c>
      <c r="C237" s="16">
        <f>'4 месяца'!C236+'8 месяцев'!C237</f>
        <v>0</v>
      </c>
      <c r="D237" s="21">
        <f>'4 месяца'!D236+'8 месяцев'!D237</f>
        <v>0</v>
      </c>
    </row>
    <row r="238" spans="1:4" ht="92.25" customHeight="1">
      <c r="A238" s="51" t="s">
        <v>150</v>
      </c>
      <c r="B238" s="9" t="s">
        <v>54</v>
      </c>
      <c r="C238" s="16">
        <f>'4 месяца'!C237+'8 месяцев'!C238</f>
        <v>6179.3</v>
      </c>
      <c r="D238" s="21">
        <f>'4 месяца'!D237+'8 месяцев'!D238</f>
        <v>6178.9</v>
      </c>
    </row>
    <row r="239" spans="1:6" ht="23.25" customHeight="1" hidden="1">
      <c r="A239" s="100" t="s">
        <v>190</v>
      </c>
      <c r="B239" s="27" t="s">
        <v>50</v>
      </c>
      <c r="C239" s="34">
        <f>C240</f>
        <v>0</v>
      </c>
      <c r="D239" s="34">
        <f>D240</f>
        <v>0</v>
      </c>
      <c r="E239" s="58">
        <v>10894600</v>
      </c>
      <c r="F239" s="58">
        <v>10894577.2</v>
      </c>
    </row>
    <row r="240" spans="1:4" ht="39.75" customHeight="1" hidden="1">
      <c r="A240" s="101"/>
      <c r="B240" s="27" t="s">
        <v>56</v>
      </c>
      <c r="C240" s="34">
        <f>C241+C242</f>
        <v>0</v>
      </c>
      <c r="D240" s="34">
        <f>D241+D242</f>
        <v>0</v>
      </c>
    </row>
    <row r="241" spans="1:4" ht="22.5" customHeight="1" hidden="1">
      <c r="A241" s="101"/>
      <c r="B241" s="27" t="s">
        <v>54</v>
      </c>
      <c r="C241" s="34">
        <v>0</v>
      </c>
      <c r="D241" s="34">
        <v>0</v>
      </c>
    </row>
    <row r="242" spans="1:4" ht="23.25" customHeight="1" hidden="1">
      <c r="A242" s="102"/>
      <c r="B242" s="27" t="s">
        <v>52</v>
      </c>
      <c r="C242" s="34">
        <f>C243</f>
        <v>0</v>
      </c>
      <c r="D242" s="34">
        <f>D243</f>
        <v>0</v>
      </c>
    </row>
    <row r="243" spans="1:8" s="11" customFormat="1" ht="32.25" customHeight="1" hidden="1">
      <c r="A243" s="52" t="s">
        <v>186</v>
      </c>
      <c r="B243" s="10" t="s">
        <v>52</v>
      </c>
      <c r="C243" s="21"/>
      <c r="D243" s="21"/>
      <c r="E243" s="60"/>
      <c r="F243" s="60"/>
      <c r="G243" s="60"/>
      <c r="H243" s="60"/>
    </row>
    <row r="244" spans="1:4" ht="33.75" customHeight="1">
      <c r="A244" s="77" t="s">
        <v>80</v>
      </c>
      <c r="B244" s="5" t="s">
        <v>50</v>
      </c>
      <c r="C244" s="20">
        <f>C245+C246</f>
        <v>104541.5</v>
      </c>
      <c r="D244" s="20">
        <f>D245+D246</f>
        <v>104510.8</v>
      </c>
    </row>
    <row r="245" spans="1:4" ht="25.5">
      <c r="A245" s="78"/>
      <c r="B245" s="5" t="s">
        <v>51</v>
      </c>
      <c r="C245" s="20">
        <f>C249</f>
        <v>283.4</v>
      </c>
      <c r="D245" s="20">
        <f>D249</f>
        <v>283.4</v>
      </c>
    </row>
    <row r="246" spans="1:4" ht="38.25">
      <c r="A246" s="78"/>
      <c r="B246" s="5" t="s">
        <v>56</v>
      </c>
      <c r="C246" s="20">
        <f>C247+C248</f>
        <v>104258.1</v>
      </c>
      <c r="D246" s="20">
        <f>D247+D248</f>
        <v>104227.40000000001</v>
      </c>
    </row>
    <row r="247" spans="1:4" ht="12.75">
      <c r="A247" s="78"/>
      <c r="B247" s="5" t="s">
        <v>54</v>
      </c>
      <c r="C247" s="20">
        <f>C250+C251+C252+C254</f>
        <v>97760.5</v>
      </c>
      <c r="D247" s="20">
        <f>D250+D251+D252+D254</f>
        <v>97729.8</v>
      </c>
    </row>
    <row r="248" spans="1:4" ht="12.75">
      <c r="A248" s="79"/>
      <c r="B248" s="5" t="s">
        <v>52</v>
      </c>
      <c r="C248" s="20">
        <f>C255</f>
        <v>6497.6</v>
      </c>
      <c r="D248" s="20">
        <f>D255</f>
        <v>6497.6</v>
      </c>
    </row>
    <row r="249" spans="1:4" ht="103.5" customHeight="1">
      <c r="A249" s="53" t="s">
        <v>257</v>
      </c>
      <c r="B249" s="4" t="s">
        <v>51</v>
      </c>
      <c r="C249" s="23">
        <f>'4 месяца'!C248+'8 месяцев'!C249</f>
        <v>283.4</v>
      </c>
      <c r="D249" s="36">
        <f>'4 месяца'!D248+'8 месяцев'!D249</f>
        <v>283.4</v>
      </c>
    </row>
    <row r="250" spans="1:4" ht="102">
      <c r="A250" s="48" t="s">
        <v>208</v>
      </c>
      <c r="B250" s="4" t="s">
        <v>54</v>
      </c>
      <c r="C250" s="23">
        <f>'4 месяца'!C249+'8 месяцев'!C250</f>
        <v>83754.4</v>
      </c>
      <c r="D250" s="36">
        <f>'4 месяца'!D249+'8 месяцев'!D250</f>
        <v>83754.4</v>
      </c>
    </row>
    <row r="251" spans="1:4" ht="76.5">
      <c r="A251" s="48" t="s">
        <v>5</v>
      </c>
      <c r="B251" s="4" t="s">
        <v>54</v>
      </c>
      <c r="C251" s="23">
        <f>'4 месяца'!C250+'8 месяцев'!C251</f>
        <v>13784</v>
      </c>
      <c r="D251" s="36">
        <f>'4 месяца'!D250+'8 месяцев'!D251</f>
        <v>13753.3</v>
      </c>
    </row>
    <row r="252" spans="1:4" ht="89.25">
      <c r="A252" s="48" t="s">
        <v>81</v>
      </c>
      <c r="B252" s="4" t="s">
        <v>54</v>
      </c>
      <c r="C252" s="23">
        <f>'4 месяца'!C251+'8 месяцев'!C252</f>
        <v>21.1</v>
      </c>
      <c r="D252" s="36">
        <f>'4 месяца'!D251+'8 месяцев'!D252</f>
        <v>21.1</v>
      </c>
    </row>
    <row r="253" spans="1:4" ht="39.75" customHeight="1">
      <c r="A253" s="83" t="s">
        <v>240</v>
      </c>
      <c r="B253" s="27" t="s">
        <v>56</v>
      </c>
      <c r="C253" s="34">
        <f>C254+C255</f>
        <v>6698.6</v>
      </c>
      <c r="D253" s="34">
        <f>D254+D255</f>
        <v>6698.6</v>
      </c>
    </row>
    <row r="254" spans="1:4" ht="22.5" customHeight="1">
      <c r="A254" s="84"/>
      <c r="B254" s="27" t="s">
        <v>54</v>
      </c>
      <c r="C254" s="34">
        <f>C257</f>
        <v>201</v>
      </c>
      <c r="D254" s="34">
        <f>D257</f>
        <v>201</v>
      </c>
    </row>
    <row r="255" spans="1:4" ht="23.25" customHeight="1">
      <c r="A255" s="85"/>
      <c r="B255" s="27" t="s">
        <v>52</v>
      </c>
      <c r="C255" s="34">
        <f>C256</f>
        <v>6497.6</v>
      </c>
      <c r="D255" s="34">
        <f>D256</f>
        <v>6497.6</v>
      </c>
    </row>
    <row r="256" spans="1:4" ht="12.75">
      <c r="A256" s="73" t="s">
        <v>239</v>
      </c>
      <c r="B256" s="4" t="s">
        <v>52</v>
      </c>
      <c r="C256" s="21">
        <f>'4 месяца'!C255+'8 месяцев'!C256</f>
        <v>6497.6</v>
      </c>
      <c r="D256" s="21">
        <f>'4 месяца'!D255+'8 месяцев'!D256</f>
        <v>6497.6</v>
      </c>
    </row>
    <row r="257" spans="1:4" ht="12.75">
      <c r="A257" s="86"/>
      <c r="B257" s="4" t="s">
        <v>54</v>
      </c>
      <c r="C257" s="21">
        <f>'4 месяца'!C256+'8 месяцев'!C257</f>
        <v>201</v>
      </c>
      <c r="D257" s="21">
        <f>'4 месяца'!D256+'8 месяцев'!D257</f>
        <v>201</v>
      </c>
    </row>
    <row r="258" spans="1:4" ht="25.5" hidden="1">
      <c r="A258" s="74"/>
      <c r="B258" s="4" t="s">
        <v>51</v>
      </c>
      <c r="C258" s="21">
        <f>'4 месяца'!C257+'8 месяцев'!C258</f>
        <v>0</v>
      </c>
      <c r="D258" s="21">
        <f>'4 месяца'!D257+'8 месяцев'!D258</f>
        <v>0</v>
      </c>
    </row>
    <row r="259" spans="1:4" ht="33.75" customHeight="1">
      <c r="A259" s="77" t="s">
        <v>82</v>
      </c>
      <c r="B259" s="5" t="s">
        <v>50</v>
      </c>
      <c r="C259" s="20">
        <f>C260+C261</f>
        <v>21142.7</v>
      </c>
      <c r="D259" s="20">
        <f>D260+D261</f>
        <v>21142.7</v>
      </c>
    </row>
    <row r="260" spans="1:4" ht="25.5">
      <c r="A260" s="78"/>
      <c r="B260" s="5" t="s">
        <v>51</v>
      </c>
      <c r="C260" s="20">
        <f>C264</f>
        <v>194.90000000000003</v>
      </c>
      <c r="D260" s="20">
        <f>D264</f>
        <v>194.90000000000003</v>
      </c>
    </row>
    <row r="261" spans="1:4" ht="38.25">
      <c r="A261" s="78"/>
      <c r="B261" s="5" t="s">
        <v>56</v>
      </c>
      <c r="C261" s="20">
        <f>C263</f>
        <v>20947.8</v>
      </c>
      <c r="D261" s="20">
        <f>D263</f>
        <v>20947.8</v>
      </c>
    </row>
    <row r="262" spans="1:4" ht="12.75">
      <c r="A262" s="79"/>
      <c r="B262" s="5" t="s">
        <v>54</v>
      </c>
      <c r="C262" s="20">
        <f>C263</f>
        <v>20947.8</v>
      </c>
      <c r="D262" s="20">
        <f>D263</f>
        <v>20947.8</v>
      </c>
    </row>
    <row r="263" spans="1:4" ht="38.25">
      <c r="A263" s="48" t="s">
        <v>6</v>
      </c>
      <c r="B263" s="4" t="s">
        <v>54</v>
      </c>
      <c r="C263" s="16">
        <f>'4 месяца'!C262+'8 месяцев'!C263</f>
        <v>20947.8</v>
      </c>
      <c r="D263" s="16">
        <f>'4 месяца'!D262+'8 месяцев'!D263</f>
        <v>20947.8</v>
      </c>
    </row>
    <row r="264" spans="1:4" ht="25.5">
      <c r="A264" s="48" t="s">
        <v>151</v>
      </c>
      <c r="B264" s="4" t="s">
        <v>51</v>
      </c>
      <c r="C264" s="16">
        <f>'4 месяца'!C263+'8 месяцев'!C264</f>
        <v>194.90000000000003</v>
      </c>
      <c r="D264" s="16">
        <f>'4 месяца'!D263+'8 месяцев'!D264</f>
        <v>194.90000000000003</v>
      </c>
    </row>
    <row r="265" spans="1:4" ht="33.75" customHeight="1">
      <c r="A265" s="89" t="s">
        <v>83</v>
      </c>
      <c r="B265" s="5" t="s">
        <v>50</v>
      </c>
      <c r="C265" s="20">
        <f>C266+C267</f>
        <v>1724.2999999999997</v>
      </c>
      <c r="D265" s="20">
        <f>D266+D267</f>
        <v>1724</v>
      </c>
    </row>
    <row r="266" spans="1:4" ht="25.5">
      <c r="A266" s="89"/>
      <c r="B266" s="5" t="s">
        <v>51</v>
      </c>
      <c r="C266" s="20">
        <f>C268+C269+C270+C271+C272</f>
        <v>1724.2999999999997</v>
      </c>
      <c r="D266" s="20">
        <f>D268+D269+D270+D271+D272</f>
        <v>1724</v>
      </c>
    </row>
    <row r="267" spans="1:4" ht="38.25">
      <c r="A267" s="89"/>
      <c r="B267" s="5" t="s">
        <v>56</v>
      </c>
      <c r="C267" s="20">
        <v>0</v>
      </c>
      <c r="D267" s="20">
        <v>0</v>
      </c>
    </row>
    <row r="268" spans="1:4" ht="25.5">
      <c r="A268" s="48" t="s">
        <v>7</v>
      </c>
      <c r="B268" s="4" t="s">
        <v>51</v>
      </c>
      <c r="C268" s="16">
        <f>'4 месяца'!C267+'8 месяцев'!C268</f>
        <v>1228.1</v>
      </c>
      <c r="D268" s="16">
        <f>'4 месяца'!D267+'8 месяцев'!D268</f>
        <v>1228</v>
      </c>
    </row>
    <row r="269" spans="1:4" ht="51">
      <c r="A269" s="48" t="s">
        <v>8</v>
      </c>
      <c r="B269" s="4" t="s">
        <v>51</v>
      </c>
      <c r="C269" s="16">
        <f>'4 месяца'!C268+'8 месяцев'!C269</f>
        <v>64.6</v>
      </c>
      <c r="D269" s="16">
        <f>'4 месяца'!D268+'8 месяцев'!D269</f>
        <v>64.5</v>
      </c>
    </row>
    <row r="270" spans="1:4" ht="38.25">
      <c r="A270" s="48" t="s">
        <v>9</v>
      </c>
      <c r="B270" s="4" t="s">
        <v>51</v>
      </c>
      <c r="C270" s="16">
        <f>'4 месяца'!C269+'8 месяцев'!C270</f>
        <v>21.3</v>
      </c>
      <c r="D270" s="16">
        <f>'4 месяца'!D269+'8 месяцев'!D270</f>
        <v>21.3</v>
      </c>
    </row>
    <row r="271" spans="1:4" ht="38.25">
      <c r="A271" s="48" t="s">
        <v>10</v>
      </c>
      <c r="B271" s="4" t="s">
        <v>51</v>
      </c>
      <c r="C271" s="16">
        <f>'4 месяца'!C270+'8 месяцев'!C271</f>
        <v>20.9</v>
      </c>
      <c r="D271" s="16">
        <f>'4 месяца'!D270+'8 месяцев'!D271</f>
        <v>20.8</v>
      </c>
    </row>
    <row r="272" spans="1:4" ht="51">
      <c r="A272" s="48" t="s">
        <v>11</v>
      </c>
      <c r="B272" s="4" t="s">
        <v>51</v>
      </c>
      <c r="C272" s="16">
        <f>'4 месяца'!C271+'8 месяцев'!C272</f>
        <v>389.4</v>
      </c>
      <c r="D272" s="16">
        <f>'4 месяца'!D271+'8 месяцев'!D272</f>
        <v>389.4</v>
      </c>
    </row>
    <row r="273" spans="1:4" ht="38.25" customHeight="1">
      <c r="A273" s="80" t="s">
        <v>84</v>
      </c>
      <c r="B273" s="3" t="s">
        <v>50</v>
      </c>
      <c r="C273" s="14">
        <f>C274+C275</f>
        <v>51414.299999999996</v>
      </c>
      <c r="D273" s="14">
        <f>D274+D275</f>
        <v>49129.5</v>
      </c>
    </row>
    <row r="274" spans="1:4" ht="25.5">
      <c r="A274" s="81"/>
      <c r="B274" s="3" t="s">
        <v>51</v>
      </c>
      <c r="C274" s="14">
        <f>C278+C295</f>
        <v>49977.1</v>
      </c>
      <c r="D274" s="14">
        <f>D278+D295</f>
        <v>47692.3</v>
      </c>
    </row>
    <row r="275" spans="1:4" ht="38.25">
      <c r="A275" s="81"/>
      <c r="B275" s="3" t="s">
        <v>56</v>
      </c>
      <c r="C275" s="14">
        <f>C276</f>
        <v>1437.2</v>
      </c>
      <c r="D275" s="14">
        <f>D276</f>
        <v>1437.2</v>
      </c>
    </row>
    <row r="276" spans="1:4" ht="12.75">
      <c r="A276" s="82"/>
      <c r="B276" s="3" t="s">
        <v>54</v>
      </c>
      <c r="C276" s="14">
        <f>C297+C280</f>
        <v>1437.2</v>
      </c>
      <c r="D276" s="14">
        <f>D297+D280</f>
        <v>1437.2</v>
      </c>
    </row>
    <row r="277" spans="1:4" ht="33.75" customHeight="1">
      <c r="A277" s="77" t="s">
        <v>85</v>
      </c>
      <c r="B277" s="5" t="s">
        <v>50</v>
      </c>
      <c r="C277" s="20">
        <f>C278+C279</f>
        <v>51088.5</v>
      </c>
      <c r="D277" s="20">
        <f>D278+D279</f>
        <v>48804</v>
      </c>
    </row>
    <row r="278" spans="1:4" ht="25.5">
      <c r="A278" s="78"/>
      <c r="B278" s="5" t="s">
        <v>51</v>
      </c>
      <c r="C278" s="20">
        <f>C281+C282+C283+C287+C288+C290+C293+C284+C285+C286+C292+C291</f>
        <v>49838.5</v>
      </c>
      <c r="D278" s="20">
        <f>D281+D282+D283+D287+D288+D290+D293+D284+D285+D286+D292+D291</f>
        <v>47554</v>
      </c>
    </row>
    <row r="279" spans="1:4" ht="38.25">
      <c r="A279" s="78"/>
      <c r="B279" s="5" t="s">
        <v>56</v>
      </c>
      <c r="C279" s="20">
        <f>C280</f>
        <v>1250</v>
      </c>
      <c r="D279" s="20">
        <f>D280</f>
        <v>1250</v>
      </c>
    </row>
    <row r="280" spans="1:4" ht="12.75">
      <c r="A280" s="79"/>
      <c r="B280" s="5" t="s">
        <v>54</v>
      </c>
      <c r="C280" s="20">
        <f>C289</f>
        <v>1250</v>
      </c>
      <c r="D280" s="20">
        <f>D289</f>
        <v>1250</v>
      </c>
    </row>
    <row r="281" spans="1:4" ht="25.5">
      <c r="A281" s="48" t="s">
        <v>12</v>
      </c>
      <c r="B281" s="4" t="s">
        <v>51</v>
      </c>
      <c r="C281" s="16">
        <f>'4 месяца'!C280+'8 месяцев'!C281</f>
        <v>38</v>
      </c>
      <c r="D281" s="16">
        <f>'4 месяца'!D280+'8 месяцев'!D281</f>
        <v>37.9</v>
      </c>
    </row>
    <row r="282" spans="1:4" ht="25.5">
      <c r="A282" s="48" t="s">
        <v>13</v>
      </c>
      <c r="B282" s="4" t="s">
        <v>51</v>
      </c>
      <c r="C282" s="16">
        <f>'4 месяца'!C281+'8 месяцев'!C282</f>
        <v>242.8</v>
      </c>
      <c r="D282" s="16">
        <f>'4 месяца'!D281+'8 месяцев'!D282</f>
        <v>242.7</v>
      </c>
    </row>
    <row r="283" spans="1:4" ht="25.5">
      <c r="A283" s="48" t="s">
        <v>103</v>
      </c>
      <c r="B283" s="4" t="s">
        <v>51</v>
      </c>
      <c r="C283" s="16">
        <f>'4 месяца'!C282+'8 месяцев'!C283</f>
        <v>544.4</v>
      </c>
      <c r="D283" s="16">
        <f>'4 месяца'!D282+'8 месяцев'!D283</f>
        <v>544</v>
      </c>
    </row>
    <row r="284" spans="1:4" ht="38.25">
      <c r="A284" s="48" t="s">
        <v>241</v>
      </c>
      <c r="B284" s="4" t="s">
        <v>51</v>
      </c>
      <c r="C284" s="16">
        <f>'4 месяца'!C283+'8 месяцев'!C284</f>
        <v>5030</v>
      </c>
      <c r="D284" s="16">
        <f>'4 месяца'!D283+'8 месяцев'!D284</f>
        <v>4845</v>
      </c>
    </row>
    <row r="285" spans="1:4" ht="25.5">
      <c r="A285" s="48" t="s">
        <v>242</v>
      </c>
      <c r="B285" s="4" t="s">
        <v>51</v>
      </c>
      <c r="C285" s="16">
        <f>'4 месяца'!C284+'8 месяцев'!C285</f>
        <v>3076.5999999999995</v>
      </c>
      <c r="D285" s="16">
        <f>'4 месяца'!D284+'8 месяцев'!D285</f>
        <v>2967</v>
      </c>
    </row>
    <row r="286" spans="1:4" ht="25.5">
      <c r="A286" s="48" t="s">
        <v>243</v>
      </c>
      <c r="B286" s="4" t="s">
        <v>51</v>
      </c>
      <c r="C286" s="16">
        <f>'4 месяца'!C285+'8 месяцев'!C286</f>
        <v>5062.4</v>
      </c>
      <c r="D286" s="16">
        <f>'4 месяца'!D285+'8 месяцев'!D286</f>
        <v>4783</v>
      </c>
    </row>
    <row r="287" spans="1:4" ht="25.5">
      <c r="A287" s="48" t="s">
        <v>244</v>
      </c>
      <c r="B287" s="4" t="s">
        <v>51</v>
      </c>
      <c r="C287" s="16">
        <f>'4 месяца'!C286+'8 месяцев'!C287</f>
        <v>25477.1</v>
      </c>
      <c r="D287" s="16">
        <f>'4 месяца'!D286+'8 месяцев'!D287</f>
        <v>23958.4</v>
      </c>
    </row>
    <row r="288" spans="1:4" ht="25.5">
      <c r="A288" s="48" t="s">
        <v>35</v>
      </c>
      <c r="B288" s="4" t="s">
        <v>51</v>
      </c>
      <c r="C288" s="16">
        <f>'4 месяца'!C287+'8 месяцев'!C288</f>
        <v>5894.1</v>
      </c>
      <c r="D288" s="16">
        <f>'4 месяца'!D287+'8 месяцев'!D288</f>
        <v>5703.2</v>
      </c>
    </row>
    <row r="289" spans="1:4" ht="12.75" customHeight="1">
      <c r="A289" s="108" t="s">
        <v>209</v>
      </c>
      <c r="B289" s="4" t="s">
        <v>54</v>
      </c>
      <c r="C289" s="16">
        <f>'4 месяца'!C288+'8 месяцев'!C289</f>
        <v>1250</v>
      </c>
      <c r="D289" s="16">
        <f>'4 месяца'!D288+'8 месяцев'!D289</f>
        <v>1250</v>
      </c>
    </row>
    <row r="290" spans="1:4" ht="25.5">
      <c r="A290" s="109"/>
      <c r="B290" s="4" t="s">
        <v>51</v>
      </c>
      <c r="C290" s="16">
        <f>'4 месяца'!C289+'8 месяцев'!C290</f>
        <v>1272.8000000000002</v>
      </c>
      <c r="D290" s="16">
        <f>'4 месяца'!D289+'8 месяцев'!D290</f>
        <v>1272.8</v>
      </c>
    </row>
    <row r="291" spans="1:4" ht="12.75">
      <c r="A291" s="110"/>
      <c r="B291" s="4" t="s">
        <v>258</v>
      </c>
      <c r="C291" s="16">
        <f>'4 месяца'!C290+'8 месяцев'!C291</f>
        <v>187.5</v>
      </c>
      <c r="D291" s="16">
        <f>'4 месяца'!D290+'8 месяцев'!D291</f>
        <v>187.5</v>
      </c>
    </row>
    <row r="292" spans="1:4" ht="30" customHeight="1">
      <c r="A292" s="48" t="s">
        <v>253</v>
      </c>
      <c r="B292" s="4" t="s">
        <v>51</v>
      </c>
      <c r="C292" s="16">
        <f>'4 месяца'!C291+'8 месяцев'!C292</f>
        <v>2736.6</v>
      </c>
      <c r="D292" s="16">
        <f>'4 месяца'!D291+'8 месяцев'!D292</f>
        <v>2736.4</v>
      </c>
    </row>
    <row r="293" spans="1:4" ht="51">
      <c r="A293" s="55" t="s">
        <v>252</v>
      </c>
      <c r="B293" s="4" t="s">
        <v>51</v>
      </c>
      <c r="C293" s="16">
        <f>'4 месяца'!C292+'8 месяцев'!C293</f>
        <v>276.2</v>
      </c>
      <c r="D293" s="16">
        <f>'4 месяца'!D292+'8 месяцев'!D293</f>
        <v>276.1</v>
      </c>
    </row>
    <row r="294" spans="1:4" ht="33.75" customHeight="1">
      <c r="A294" s="77" t="s">
        <v>86</v>
      </c>
      <c r="B294" s="5" t="s">
        <v>50</v>
      </c>
      <c r="C294" s="20">
        <f>C295+C296</f>
        <v>325.79999999999995</v>
      </c>
      <c r="D294" s="20">
        <f>D295+D296</f>
        <v>325.5</v>
      </c>
    </row>
    <row r="295" spans="1:4" ht="25.5">
      <c r="A295" s="78"/>
      <c r="B295" s="5" t="s">
        <v>51</v>
      </c>
      <c r="C295" s="20">
        <f>C298+C299+C300+C303+C304+C302</f>
        <v>138.6</v>
      </c>
      <c r="D295" s="20">
        <f>D298+D299+D300+D303+D302</f>
        <v>138.3</v>
      </c>
    </row>
    <row r="296" spans="1:4" ht="38.25">
      <c r="A296" s="78"/>
      <c r="B296" s="5" t="s">
        <v>56</v>
      </c>
      <c r="C296" s="20">
        <f>C297</f>
        <v>187.2</v>
      </c>
      <c r="D296" s="20">
        <f>D297</f>
        <v>187.2</v>
      </c>
    </row>
    <row r="297" spans="1:4" ht="12.75">
      <c r="A297" s="79"/>
      <c r="B297" s="5" t="s">
        <v>54</v>
      </c>
      <c r="C297" s="20">
        <f>C301</f>
        <v>187.2</v>
      </c>
      <c r="D297" s="20">
        <f>D301</f>
        <v>187.2</v>
      </c>
    </row>
    <row r="298" spans="1:4" ht="25.5">
      <c r="A298" s="48" t="s">
        <v>87</v>
      </c>
      <c r="B298" s="4" t="s">
        <v>51</v>
      </c>
      <c r="C298" s="16">
        <f>'4 месяца'!C297+'8 месяцев'!C298</f>
        <v>27.7</v>
      </c>
      <c r="D298" s="16">
        <f>'4 месяца'!D297+'8 месяцев'!D298</f>
        <v>27.6</v>
      </c>
    </row>
    <row r="299" spans="1:4" ht="25.5">
      <c r="A299" s="48" t="s">
        <v>14</v>
      </c>
      <c r="B299" s="4" t="s">
        <v>51</v>
      </c>
      <c r="C299" s="16">
        <f>'4 месяца'!C298+'8 месяцев'!C299</f>
        <v>85.5</v>
      </c>
      <c r="D299" s="16">
        <f>'4 месяца'!D298+'8 месяцев'!D299</f>
        <v>85.4</v>
      </c>
    </row>
    <row r="300" spans="1:4" ht="25.5">
      <c r="A300" s="48" t="s">
        <v>15</v>
      </c>
      <c r="B300" s="4" t="s">
        <v>51</v>
      </c>
      <c r="C300" s="16">
        <f>'4 месяца'!C299+'8 месяцев'!C300</f>
        <v>6.1</v>
      </c>
      <c r="D300" s="16">
        <f>'4 месяца'!D299+'8 месяцев'!D300</f>
        <v>6</v>
      </c>
    </row>
    <row r="301" spans="1:4" ht="26.25" customHeight="1">
      <c r="A301" s="73" t="s">
        <v>16</v>
      </c>
      <c r="B301" s="4" t="s">
        <v>54</v>
      </c>
      <c r="C301" s="16">
        <f>'4 месяца'!C300+'8 месяцев'!C301</f>
        <v>187.2</v>
      </c>
      <c r="D301" s="16">
        <f>'4 месяца'!D300+'8 месяцев'!D301</f>
        <v>187.2</v>
      </c>
    </row>
    <row r="302" spans="1:4" ht="25.5">
      <c r="A302" s="74"/>
      <c r="B302" s="4" t="s">
        <v>51</v>
      </c>
      <c r="C302" s="16">
        <f>'4 месяца'!C301+'8 месяцев'!C302</f>
        <v>19.3</v>
      </c>
      <c r="D302" s="16">
        <f>'4 месяца'!D301+'8 месяцев'!D302</f>
        <v>19.3</v>
      </c>
    </row>
    <row r="303" spans="1:4" ht="25.5" hidden="1">
      <c r="A303" s="48" t="s">
        <v>17</v>
      </c>
      <c r="B303" s="4" t="s">
        <v>51</v>
      </c>
      <c r="C303" s="16">
        <f>'4 месяца'!C302+'8 месяцев'!C303</f>
        <v>0</v>
      </c>
      <c r="D303" s="16">
        <f>'4 месяца'!D302+'8 месяцев'!D303</f>
        <v>0</v>
      </c>
    </row>
    <row r="304" spans="1:4" ht="25.5" hidden="1">
      <c r="A304" s="48" t="s">
        <v>201</v>
      </c>
      <c r="B304" s="4" t="s">
        <v>51</v>
      </c>
      <c r="C304" s="16">
        <f>'4 месяца'!C303+'8 месяцев'!C304</f>
        <v>0</v>
      </c>
      <c r="D304" s="16"/>
    </row>
    <row r="305" spans="1:4" ht="38.25" customHeight="1">
      <c r="A305" s="95" t="s">
        <v>39</v>
      </c>
      <c r="B305" s="3" t="s">
        <v>50</v>
      </c>
      <c r="C305" s="14">
        <f>C306+C307</f>
        <v>689</v>
      </c>
      <c r="D305" s="14">
        <f>D306+D307</f>
        <v>568.9</v>
      </c>
    </row>
    <row r="306" spans="1:4" ht="26.25" customHeight="1">
      <c r="A306" s="95"/>
      <c r="B306" s="87" t="s">
        <v>51</v>
      </c>
      <c r="C306" s="75">
        <f>C308+C309+C310+C311</f>
        <v>689</v>
      </c>
      <c r="D306" s="75">
        <f>D308+D309+D310</f>
        <v>568.9</v>
      </c>
    </row>
    <row r="307" spans="1:4" ht="12.75">
      <c r="A307" s="95"/>
      <c r="B307" s="88"/>
      <c r="C307" s="76"/>
      <c r="D307" s="76"/>
    </row>
    <row r="308" spans="1:4" ht="25.5">
      <c r="A308" s="48" t="s">
        <v>259</v>
      </c>
      <c r="B308" s="4" t="s">
        <v>51</v>
      </c>
      <c r="C308" s="16">
        <f>'4 месяца'!C307+'8 месяцев'!C308</f>
        <v>92</v>
      </c>
      <c r="D308" s="16">
        <f>'4 месяца'!D307+'8 месяцев'!D308</f>
        <v>92</v>
      </c>
    </row>
    <row r="309" spans="1:4" ht="25.5">
      <c r="A309" s="48" t="s">
        <v>18</v>
      </c>
      <c r="B309" s="4" t="s">
        <v>51</v>
      </c>
      <c r="C309" s="16">
        <f>'4 месяца'!C308+'8 месяцев'!C309</f>
        <v>99</v>
      </c>
      <c r="D309" s="16">
        <f>'4 месяца'!D308+'8 месяцев'!D309</f>
        <v>99</v>
      </c>
    </row>
    <row r="310" spans="1:4" ht="25.5">
      <c r="A310" s="48" t="s">
        <v>152</v>
      </c>
      <c r="B310" s="4" t="s">
        <v>51</v>
      </c>
      <c r="C310" s="16">
        <f>'4 месяца'!C309+'8 месяцев'!C310</f>
        <v>498</v>
      </c>
      <c r="D310" s="16">
        <f>'4 месяца'!D309+'8 месяцев'!D310</f>
        <v>377.9</v>
      </c>
    </row>
    <row r="311" spans="1:4" ht="25.5" hidden="1">
      <c r="A311" s="48" t="s">
        <v>210</v>
      </c>
      <c r="B311" s="4" t="s">
        <v>51</v>
      </c>
      <c r="C311" s="16">
        <f>'4 месяца'!C310+'8 месяцев'!C311</f>
        <v>0</v>
      </c>
      <c r="D311" s="16">
        <f>'4 месяца'!D310+'8 месяцев'!D311</f>
        <v>0</v>
      </c>
    </row>
    <row r="312" spans="1:4" ht="38.25" customHeight="1">
      <c r="A312" s="95" t="s">
        <v>40</v>
      </c>
      <c r="B312" s="3" t="s">
        <v>50</v>
      </c>
      <c r="C312" s="14">
        <f>C313+C314</f>
        <v>482751.69999999995</v>
      </c>
      <c r="D312" s="14">
        <v>470582.6</v>
      </c>
    </row>
    <row r="313" spans="1:4" ht="25.5">
      <c r="A313" s="95"/>
      <c r="B313" s="3" t="s">
        <v>51</v>
      </c>
      <c r="C313" s="14">
        <f>C318+C328+C334+C346+C353+C370+C374+C316+C332-C315</f>
        <v>268385</v>
      </c>
      <c r="D313" s="14">
        <f>D318+D328+D334+D346+D353+D370+D374+D316</f>
        <v>256382.43999999997</v>
      </c>
    </row>
    <row r="314" spans="1:4" ht="38.25">
      <c r="A314" s="95"/>
      <c r="B314" s="3" t="s">
        <v>56</v>
      </c>
      <c r="C314" s="14">
        <f>C319+C329+C335+C347+C354+C371+C375+C315</f>
        <v>214366.69999999995</v>
      </c>
      <c r="D314" s="14">
        <f>D319+D329+D335+D347+D354+D371+D375+D315</f>
        <v>214200.09999999998</v>
      </c>
    </row>
    <row r="315" spans="1:4" ht="12.75">
      <c r="A315" s="70"/>
      <c r="B315" s="3" t="s">
        <v>54</v>
      </c>
      <c r="C315" s="14">
        <f>C332</f>
        <v>1295.3</v>
      </c>
      <c r="D315" s="14">
        <f>D332</f>
        <v>1295.3</v>
      </c>
    </row>
    <row r="316" spans="1:4" ht="38.25">
      <c r="A316" s="50" t="s">
        <v>211</v>
      </c>
      <c r="B316" s="37" t="s">
        <v>51</v>
      </c>
      <c r="C316" s="23">
        <f>'4 месяца'!C315+'8 месяцев'!C316</f>
        <v>29340.1</v>
      </c>
      <c r="D316" s="23">
        <f>'4 месяца'!D315+'8 месяцев'!D316</f>
        <v>27889.2</v>
      </c>
    </row>
    <row r="317" spans="1:4" ht="33.75" customHeight="1" hidden="1">
      <c r="A317" s="89" t="s">
        <v>41</v>
      </c>
      <c r="B317" s="5" t="s">
        <v>50</v>
      </c>
      <c r="C317" s="23">
        <f>'4 месяца'!C316+'8 месяцев'!C317</f>
        <v>0</v>
      </c>
      <c r="D317" s="23">
        <f>'4 месяца'!D316+'8 месяцев'!D317</f>
        <v>0</v>
      </c>
    </row>
    <row r="318" spans="1:4" ht="25.5" hidden="1">
      <c r="A318" s="89"/>
      <c r="B318" s="5" t="s">
        <v>51</v>
      </c>
      <c r="C318" s="23">
        <f>'4 месяца'!C317+'8 месяцев'!C318</f>
        <v>0</v>
      </c>
      <c r="D318" s="23">
        <f>'4 месяца'!D317+'8 месяцев'!D318</f>
        <v>0</v>
      </c>
    </row>
    <row r="319" spans="1:4" ht="38.25" hidden="1">
      <c r="A319" s="89"/>
      <c r="B319" s="5" t="s">
        <v>56</v>
      </c>
      <c r="C319" s="23">
        <f>'4 месяца'!C318+'8 месяцев'!C319</f>
        <v>0</v>
      </c>
      <c r="D319" s="23">
        <f>'4 месяца'!D318+'8 месяцев'!D319</f>
        <v>0</v>
      </c>
    </row>
    <row r="320" spans="1:4" ht="12.75" hidden="1">
      <c r="A320" s="54"/>
      <c r="B320" s="5" t="s">
        <v>54</v>
      </c>
      <c r="C320" s="23">
        <f>'4 месяца'!C319+'8 месяцев'!C320</f>
        <v>0</v>
      </c>
      <c r="D320" s="23">
        <f>'4 месяца'!D319+'8 месяцев'!D320</f>
        <v>0</v>
      </c>
    </row>
    <row r="321" spans="1:4" ht="38.25" hidden="1">
      <c r="A321" s="48" t="s">
        <v>19</v>
      </c>
      <c r="B321" s="4" t="s">
        <v>51</v>
      </c>
      <c r="C321" s="23">
        <f>'4 месяца'!C320+'8 месяцев'!C321</f>
        <v>0</v>
      </c>
      <c r="D321" s="23">
        <f>'4 месяца'!D320+'8 месяцев'!D321</f>
        <v>0</v>
      </c>
    </row>
    <row r="322" spans="1:4" ht="25.5" hidden="1">
      <c r="A322" s="73" t="s">
        <v>153</v>
      </c>
      <c r="B322" s="4" t="s">
        <v>51</v>
      </c>
      <c r="C322" s="23">
        <f>'4 месяца'!C321+'8 месяцев'!C322</f>
        <v>0</v>
      </c>
      <c r="D322" s="23">
        <f>'4 месяца'!D321+'8 месяцев'!D322</f>
        <v>0</v>
      </c>
    </row>
    <row r="323" spans="1:4" ht="12.75" hidden="1">
      <c r="A323" s="74"/>
      <c r="B323" s="4" t="s">
        <v>54</v>
      </c>
      <c r="C323" s="23">
        <f>'4 месяца'!C322+'8 месяцев'!C323</f>
        <v>0</v>
      </c>
      <c r="D323" s="23">
        <f>'4 месяца'!D322+'8 месяцев'!D323</f>
        <v>0</v>
      </c>
    </row>
    <row r="324" spans="1:12" ht="25.5" hidden="1">
      <c r="A324" s="73" t="s">
        <v>178</v>
      </c>
      <c r="B324" s="4" t="s">
        <v>51</v>
      </c>
      <c r="C324" s="23">
        <f>'4 месяца'!C323+'8 месяцев'!C324</f>
        <v>0</v>
      </c>
      <c r="D324" s="23">
        <f>'4 месяца'!D323+'8 месяцев'!D324</f>
        <v>0</v>
      </c>
      <c r="L324" s="11">
        <f>J324-K324</f>
        <v>0</v>
      </c>
    </row>
    <row r="325" spans="1:12" ht="12.75" hidden="1">
      <c r="A325" s="74"/>
      <c r="B325" s="4" t="s">
        <v>54</v>
      </c>
      <c r="C325" s="23">
        <f>'4 месяца'!C324+'8 месяцев'!C325</f>
        <v>0</v>
      </c>
      <c r="D325" s="23">
        <f>'4 месяца'!D324+'8 месяцев'!D325</f>
        <v>0</v>
      </c>
      <c r="L325" s="11">
        <f>J325-K325</f>
        <v>0</v>
      </c>
    </row>
    <row r="326" spans="1:4" ht="12.75" hidden="1">
      <c r="A326" s="35"/>
      <c r="B326" s="4"/>
      <c r="C326" s="23">
        <f>'4 месяца'!C325+'8 месяцев'!C326</f>
        <v>0</v>
      </c>
      <c r="D326" s="23">
        <f>'4 месяца'!D325+'8 месяцев'!D326</f>
        <v>0</v>
      </c>
    </row>
    <row r="327" spans="1:4" ht="33.75" customHeight="1" hidden="1">
      <c r="A327" s="89" t="s">
        <v>42</v>
      </c>
      <c r="B327" s="5" t="s">
        <v>50</v>
      </c>
      <c r="C327" s="23">
        <f>'4 месяца'!C326+'8 месяцев'!C327</f>
        <v>0</v>
      </c>
      <c r="D327" s="23">
        <f>'4 месяца'!D326+'8 месяцев'!D327</f>
        <v>0</v>
      </c>
    </row>
    <row r="328" spans="1:4" ht="25.5" hidden="1">
      <c r="A328" s="89"/>
      <c r="B328" s="5" t="s">
        <v>51</v>
      </c>
      <c r="C328" s="23">
        <f>'4 месяца'!C327+'8 месяцев'!C328</f>
        <v>0</v>
      </c>
      <c r="D328" s="23">
        <f>'4 месяца'!D327+'8 месяцев'!D328</f>
        <v>0</v>
      </c>
    </row>
    <row r="329" spans="1:4" ht="38.25" hidden="1">
      <c r="A329" s="89"/>
      <c r="B329" s="5" t="s">
        <v>56</v>
      </c>
      <c r="C329" s="23">
        <f>'4 месяца'!C328+'8 месяцев'!C329</f>
        <v>0</v>
      </c>
      <c r="D329" s="23">
        <f>'4 месяца'!D328+'8 месяцев'!D329</f>
        <v>0</v>
      </c>
    </row>
    <row r="330" spans="1:4" ht="12.75" hidden="1">
      <c r="A330" s="54"/>
      <c r="B330" s="5" t="s">
        <v>54</v>
      </c>
      <c r="C330" s="23">
        <f>'4 месяца'!C329+'8 месяцев'!C330</f>
        <v>0</v>
      </c>
      <c r="D330" s="23">
        <f>'4 месяца'!D329+'8 месяцев'!D330</f>
        <v>0</v>
      </c>
    </row>
    <row r="331" spans="1:4" ht="25.5" hidden="1">
      <c r="A331" s="48" t="s">
        <v>20</v>
      </c>
      <c r="B331" s="6" t="s">
        <v>51</v>
      </c>
      <c r="C331" s="23">
        <f>'4 месяца'!C330+'8 месяцев'!C331</f>
        <v>0</v>
      </c>
      <c r="D331" s="23">
        <f>'4 месяца'!D330+'8 месяцев'!D331</f>
        <v>0</v>
      </c>
    </row>
    <row r="332" spans="1:4" ht="51">
      <c r="A332" s="40" t="s">
        <v>195</v>
      </c>
      <c r="B332" s="4" t="s">
        <v>54</v>
      </c>
      <c r="C332" s="23">
        <f>'4 месяца'!C331+'8 месяцев'!C332</f>
        <v>1295.3</v>
      </c>
      <c r="D332" s="23">
        <f>'4 месяца'!D331+'8 месяцев'!D332</f>
        <v>1295.3</v>
      </c>
    </row>
    <row r="333" spans="1:4" ht="33.75" customHeight="1">
      <c r="A333" s="77" t="s">
        <v>43</v>
      </c>
      <c r="B333" s="5" t="s">
        <v>50</v>
      </c>
      <c r="C333" s="20">
        <f>C334+C335</f>
        <v>25671.300000000003</v>
      </c>
      <c r="D333" s="20">
        <f>D334+D335</f>
        <v>23529.899999999998</v>
      </c>
    </row>
    <row r="334" spans="1:4" ht="25.5">
      <c r="A334" s="78"/>
      <c r="B334" s="5" t="s">
        <v>51</v>
      </c>
      <c r="C334" s="20">
        <f>C337+C338+C339+C341+C344</f>
        <v>25001.9</v>
      </c>
      <c r="D334" s="20">
        <f>D337+D338+D339+D341+D344</f>
        <v>22862.1</v>
      </c>
    </row>
    <row r="335" spans="1:4" ht="38.25">
      <c r="A335" s="78"/>
      <c r="B335" s="5" t="s">
        <v>56</v>
      </c>
      <c r="C335" s="20">
        <f>C336</f>
        <v>669.4</v>
      </c>
      <c r="D335" s="20">
        <f>D336</f>
        <v>667.8</v>
      </c>
    </row>
    <row r="336" spans="1:4" ht="12.75">
      <c r="A336" s="79"/>
      <c r="B336" s="5" t="s">
        <v>54</v>
      </c>
      <c r="C336" s="20">
        <f>C343+C342+C340</f>
        <v>669.4</v>
      </c>
      <c r="D336" s="20">
        <f>D343+D342+D340</f>
        <v>667.8</v>
      </c>
    </row>
    <row r="337" spans="1:4" ht="25.5">
      <c r="A337" s="48" t="s">
        <v>21</v>
      </c>
      <c r="B337" s="4" t="s">
        <v>51</v>
      </c>
      <c r="C337" s="16">
        <f>'4 месяца'!C336+'8 месяцев'!C337</f>
        <v>19798.2</v>
      </c>
      <c r="D337" s="16">
        <f>'4 месяца'!D336+'8 месяцев'!D337</f>
        <v>17658.5</v>
      </c>
    </row>
    <row r="338" spans="1:4" ht="25.5">
      <c r="A338" s="48" t="s">
        <v>22</v>
      </c>
      <c r="B338" s="4" t="s">
        <v>51</v>
      </c>
      <c r="C338" s="16">
        <f>'4 месяца'!C337+'8 месяцев'!C338</f>
        <v>5203.7</v>
      </c>
      <c r="D338" s="16">
        <f>'4 месяца'!D337+'8 месяцев'!D338</f>
        <v>5203.6</v>
      </c>
    </row>
    <row r="339" spans="1:4" ht="25.5" hidden="1">
      <c r="A339" s="48" t="s">
        <v>23</v>
      </c>
      <c r="B339" s="4" t="s">
        <v>51</v>
      </c>
      <c r="C339" s="16">
        <f>'4 месяца'!C338+'8 месяцев'!C339</f>
        <v>0</v>
      </c>
      <c r="D339" s="16">
        <f>'4 месяца'!D338+'8 месяцев'!D339</f>
        <v>0</v>
      </c>
    </row>
    <row r="340" spans="1:4" ht="38.25">
      <c r="A340" s="40" t="s">
        <v>212</v>
      </c>
      <c r="B340" s="4" t="s">
        <v>54</v>
      </c>
      <c r="C340" s="16">
        <f>'4 месяца'!C339+'8 месяцев'!C340</f>
        <v>669.4</v>
      </c>
      <c r="D340" s="16">
        <f>'4 месяца'!D339+'8 месяцев'!D340</f>
        <v>667.8</v>
      </c>
    </row>
    <row r="341" spans="1:4" ht="38.25" customHeight="1" hidden="1">
      <c r="A341" s="73" t="s">
        <v>174</v>
      </c>
      <c r="B341" s="4" t="s">
        <v>51</v>
      </c>
      <c r="C341" s="16"/>
      <c r="D341" s="16"/>
    </row>
    <row r="342" spans="1:4" ht="12.75" hidden="1">
      <c r="A342" s="74"/>
      <c r="B342" s="4" t="s">
        <v>54</v>
      </c>
      <c r="C342" s="16"/>
      <c r="D342" s="16"/>
    </row>
    <row r="343" spans="1:4" ht="12.75" hidden="1">
      <c r="A343" s="73" t="s">
        <v>178</v>
      </c>
      <c r="B343" s="4" t="s">
        <v>54</v>
      </c>
      <c r="C343" s="16"/>
      <c r="D343" s="16"/>
    </row>
    <row r="344" spans="1:4" ht="25.5" hidden="1">
      <c r="A344" s="74"/>
      <c r="B344" s="4" t="s">
        <v>51</v>
      </c>
      <c r="C344" s="16"/>
      <c r="D344" s="16"/>
    </row>
    <row r="345" spans="1:4" ht="33.75" customHeight="1">
      <c r="A345" s="89" t="s">
        <v>44</v>
      </c>
      <c r="B345" s="5" t="s">
        <v>50</v>
      </c>
      <c r="C345" s="20">
        <f>C346+C347</f>
        <v>54489.5</v>
      </c>
      <c r="D345" s="20">
        <f>D346+D347</f>
        <v>48670.7</v>
      </c>
    </row>
    <row r="346" spans="1:4" ht="25.5">
      <c r="A346" s="89"/>
      <c r="B346" s="5" t="s">
        <v>51</v>
      </c>
      <c r="C346" s="20">
        <f>C349+C350</f>
        <v>54489.5</v>
      </c>
      <c r="D346" s="20">
        <f>D349+D350</f>
        <v>48670.7</v>
      </c>
    </row>
    <row r="347" spans="1:4" ht="38.25">
      <c r="A347" s="89"/>
      <c r="B347" s="5" t="s">
        <v>56</v>
      </c>
      <c r="C347" s="20">
        <f>C348</f>
        <v>0</v>
      </c>
      <c r="D347" s="20">
        <f>D348</f>
        <v>0</v>
      </c>
    </row>
    <row r="348" spans="1:4" ht="12.75">
      <c r="A348" s="54"/>
      <c r="B348" s="5" t="s">
        <v>54</v>
      </c>
      <c r="C348" s="20">
        <f>C351</f>
        <v>0</v>
      </c>
      <c r="D348" s="20">
        <f>D351</f>
        <v>0</v>
      </c>
    </row>
    <row r="349" spans="1:4" ht="38.25">
      <c r="A349" s="48" t="s">
        <v>175</v>
      </c>
      <c r="B349" s="4" t="s">
        <v>51</v>
      </c>
      <c r="C349" s="16">
        <f>'4 месяца'!C348+'8 месяцев'!C349</f>
        <v>54489.5</v>
      </c>
      <c r="D349" s="16">
        <f>'4 месяца'!D348+'8 месяцев'!D349</f>
        <v>48670.7</v>
      </c>
    </row>
    <row r="350" spans="1:4" ht="75.75" customHeight="1" hidden="1">
      <c r="A350" s="73" t="s">
        <v>166</v>
      </c>
      <c r="B350" s="4" t="s">
        <v>51</v>
      </c>
      <c r="C350" s="16"/>
      <c r="D350" s="16"/>
    </row>
    <row r="351" spans="1:4" ht="12.75" hidden="1">
      <c r="A351" s="74"/>
      <c r="B351" s="4" t="s">
        <v>54</v>
      </c>
      <c r="C351" s="16"/>
      <c r="D351" s="16"/>
    </row>
    <row r="352" spans="1:9" ht="33.75" customHeight="1">
      <c r="A352" s="77" t="s">
        <v>45</v>
      </c>
      <c r="B352" s="5" t="s">
        <v>50</v>
      </c>
      <c r="C352" s="20">
        <f>C353+C354</f>
        <v>366374.6</v>
      </c>
      <c r="D352" s="20">
        <f>D353+D354</f>
        <v>366022.64</v>
      </c>
      <c r="I352" s="66"/>
    </row>
    <row r="353" spans="1:4" ht="25.5">
      <c r="A353" s="78"/>
      <c r="B353" s="5" t="s">
        <v>51</v>
      </c>
      <c r="C353" s="20">
        <f>C361+C363+C364+C365+C366+C362+C367</f>
        <v>153972.6</v>
      </c>
      <c r="D353" s="20">
        <f>D361+D362+D363+D364+D365+D366+D367</f>
        <v>153785.63999999998</v>
      </c>
    </row>
    <row r="354" spans="1:4" ht="38.25">
      <c r="A354" s="78"/>
      <c r="B354" s="5" t="s">
        <v>56</v>
      </c>
      <c r="C354" s="20">
        <f>C355</f>
        <v>212401.99999999997</v>
      </c>
      <c r="D354" s="20">
        <f>D355</f>
        <v>212237</v>
      </c>
    </row>
    <row r="355" spans="1:4" ht="12.75">
      <c r="A355" s="79"/>
      <c r="B355" s="5" t="s">
        <v>54</v>
      </c>
      <c r="C355" s="20">
        <f>C368+C356+C357+C358+C359+C360</f>
        <v>212401.99999999997</v>
      </c>
      <c r="D355" s="20">
        <f>D356+D357+D358+D359+D360+D368</f>
        <v>212237</v>
      </c>
    </row>
    <row r="356" spans="1:4" ht="89.25">
      <c r="A356" s="68" t="s">
        <v>245</v>
      </c>
      <c r="B356" s="4" t="s">
        <v>54</v>
      </c>
      <c r="C356" s="23">
        <f>'4 месяца'!C355+'8 месяцев'!C356</f>
        <v>112161.6</v>
      </c>
      <c r="D356" s="23">
        <f>'4 месяца'!D355+'8 месяцев'!D356</f>
        <v>112108.9</v>
      </c>
    </row>
    <row r="357" spans="1:4" ht="89.25">
      <c r="A357" s="68" t="s">
        <v>246</v>
      </c>
      <c r="B357" s="4" t="s">
        <v>54</v>
      </c>
      <c r="C357" s="23">
        <f>'4 месяца'!C356+'8 месяцев'!C357</f>
        <v>40173.7</v>
      </c>
      <c r="D357" s="23">
        <f>'4 месяца'!D356+'8 месяцев'!D357</f>
        <v>40173.4</v>
      </c>
    </row>
    <row r="358" spans="1:4" ht="89.25">
      <c r="A358" s="68" t="s">
        <v>247</v>
      </c>
      <c r="B358" s="4" t="s">
        <v>54</v>
      </c>
      <c r="C358" s="23">
        <f>'4 месяца'!C357+'8 месяцев'!C358</f>
        <v>21051.3</v>
      </c>
      <c r="D358" s="23">
        <f>'4 месяца'!D357+'8 месяцев'!D358</f>
        <v>21002</v>
      </c>
    </row>
    <row r="359" spans="1:4" ht="89.25">
      <c r="A359" s="68" t="s">
        <v>248</v>
      </c>
      <c r="B359" s="4" t="s">
        <v>54</v>
      </c>
      <c r="C359" s="23">
        <f>'4 месяца'!C358+'8 месяцев'!C359</f>
        <v>29342.5</v>
      </c>
      <c r="D359" s="23">
        <f>'4 месяца'!D358+'8 месяцев'!D359</f>
        <v>29280.1</v>
      </c>
    </row>
    <row r="360" spans="1:4" ht="89.25">
      <c r="A360" s="68" t="s">
        <v>249</v>
      </c>
      <c r="B360" s="4" t="s">
        <v>54</v>
      </c>
      <c r="C360" s="23">
        <f>'4 месяца'!C359+'8 месяцев'!C360</f>
        <v>9672.9</v>
      </c>
      <c r="D360" s="23">
        <f>'4 месяца'!D359+'8 месяцев'!D360</f>
        <v>9672.6</v>
      </c>
    </row>
    <row r="361" spans="1:4" ht="51">
      <c r="A361" s="48" t="s">
        <v>213</v>
      </c>
      <c r="B361" s="4" t="s">
        <v>51</v>
      </c>
      <c r="C361" s="23">
        <f>'4 месяца'!C360+'8 месяцев'!C361</f>
        <v>328.5</v>
      </c>
      <c r="D361" s="23">
        <f>'4 месяца'!D360+'8 месяцев'!D361</f>
        <v>328.5</v>
      </c>
    </row>
    <row r="362" spans="1:4" ht="51" hidden="1">
      <c r="A362" s="48" t="s">
        <v>176</v>
      </c>
      <c r="B362" s="4" t="s">
        <v>51</v>
      </c>
      <c r="C362" s="23">
        <f>'4 месяца'!C361+'8 месяцев'!C362</f>
        <v>0</v>
      </c>
      <c r="D362" s="23">
        <f>'4 месяца'!D361+'8 месяцев'!D362</f>
        <v>0</v>
      </c>
    </row>
    <row r="363" spans="1:4" ht="38.25">
      <c r="A363" s="48" t="s">
        <v>177</v>
      </c>
      <c r="B363" s="4" t="s">
        <v>51</v>
      </c>
      <c r="C363" s="23">
        <f>'4 месяца'!C362+'8 месяцев'!C363</f>
        <v>2243.2</v>
      </c>
      <c r="D363" s="23">
        <f>'4 месяца'!D362+'8 месяцев'!D363</f>
        <v>2056.24</v>
      </c>
    </row>
    <row r="364" spans="1:4" ht="51">
      <c r="A364" s="48" t="s">
        <v>192</v>
      </c>
      <c r="B364" s="4" t="s">
        <v>51</v>
      </c>
      <c r="C364" s="23">
        <f>'4 месяца'!C363+'8 месяцев'!C364</f>
        <v>0</v>
      </c>
      <c r="D364" s="23">
        <f>'4 месяца'!D363+'8 месяцев'!D364</f>
        <v>0</v>
      </c>
    </row>
    <row r="365" spans="1:4" ht="38.25">
      <c r="A365" s="48" t="s">
        <v>193</v>
      </c>
      <c r="B365" s="4" t="s">
        <v>51</v>
      </c>
      <c r="C365" s="23">
        <f>'4 месяца'!C364+'8 месяцев'!C365</f>
        <v>141293.9</v>
      </c>
      <c r="D365" s="23">
        <f>'4 месяца'!D364+'8 месяцев'!D365</f>
        <v>141293.9</v>
      </c>
    </row>
    <row r="366" spans="1:4" ht="51">
      <c r="A366" s="48" t="s">
        <v>194</v>
      </c>
      <c r="B366" s="4" t="s">
        <v>51</v>
      </c>
      <c r="C366" s="23">
        <f>'4 месяца'!C365+'8 месяцев'!C366</f>
        <v>3576.6</v>
      </c>
      <c r="D366" s="23">
        <f>'4 месяца'!D365+'8 месяцев'!D366</f>
        <v>3576.6</v>
      </c>
    </row>
    <row r="367" spans="1:4" ht="51">
      <c r="A367" s="48" t="s">
        <v>264</v>
      </c>
      <c r="B367" s="4" t="s">
        <v>51</v>
      </c>
      <c r="C367" s="16">
        <f>'4 месяца'!C366+'8 месяцев'!C367</f>
        <v>6530.4</v>
      </c>
      <c r="D367" s="16">
        <f>'4 месяца'!D366+'8 месяцев'!D367</f>
        <v>6530.4</v>
      </c>
    </row>
    <row r="368" spans="1:4" ht="51.75" customHeight="1" hidden="1">
      <c r="A368" s="48" t="s">
        <v>195</v>
      </c>
      <c r="B368" s="4" t="s">
        <v>54</v>
      </c>
      <c r="C368" s="16"/>
      <c r="D368" s="16"/>
    </row>
    <row r="369" spans="1:4" ht="33.75" customHeight="1">
      <c r="A369" s="89" t="s">
        <v>46</v>
      </c>
      <c r="B369" s="5" t="s">
        <v>50</v>
      </c>
      <c r="C369" s="20">
        <f>C370</f>
        <v>3269.3</v>
      </c>
      <c r="D369" s="20">
        <f>D370</f>
        <v>3174.8</v>
      </c>
    </row>
    <row r="370" spans="1:4" ht="25.5">
      <c r="A370" s="89"/>
      <c r="B370" s="5" t="s">
        <v>51</v>
      </c>
      <c r="C370" s="20">
        <f>C372</f>
        <v>3269.3</v>
      </c>
      <c r="D370" s="20">
        <f>D372</f>
        <v>3174.8</v>
      </c>
    </row>
    <row r="371" spans="1:4" ht="38.25" hidden="1">
      <c r="A371" s="89"/>
      <c r="B371" s="5" t="s">
        <v>56</v>
      </c>
      <c r="C371" s="20">
        <v>0</v>
      </c>
      <c r="D371" s="20">
        <v>0</v>
      </c>
    </row>
    <row r="372" spans="1:4" ht="25.5">
      <c r="A372" s="48" t="s">
        <v>24</v>
      </c>
      <c r="B372" s="4" t="s">
        <v>51</v>
      </c>
      <c r="C372" s="16">
        <f>'4 месяца'!C371+'8 месяцев'!C372</f>
        <v>3269.3</v>
      </c>
      <c r="D372" s="16">
        <f>'4 месяца'!D371+'8 месяцев'!D372</f>
        <v>3174.8</v>
      </c>
    </row>
    <row r="373" spans="1:4" ht="33.75" customHeight="1">
      <c r="A373" s="89" t="s">
        <v>47</v>
      </c>
      <c r="B373" s="5" t="s">
        <v>50</v>
      </c>
      <c r="C373" s="20">
        <f>C374</f>
        <v>2311.6</v>
      </c>
      <c r="D373" s="20">
        <f>D374</f>
        <v>0</v>
      </c>
    </row>
    <row r="374" spans="1:4" ht="25.5">
      <c r="A374" s="89"/>
      <c r="B374" s="5" t="s">
        <v>51</v>
      </c>
      <c r="C374" s="20">
        <f>C376+C377</f>
        <v>2311.6</v>
      </c>
      <c r="D374" s="20">
        <f>D376+D377</f>
        <v>0</v>
      </c>
    </row>
    <row r="375" spans="1:4" ht="38.25" hidden="1">
      <c r="A375" s="89"/>
      <c r="B375" s="5" t="s">
        <v>56</v>
      </c>
      <c r="C375" s="20">
        <v>0</v>
      </c>
      <c r="D375" s="20">
        <v>0</v>
      </c>
    </row>
    <row r="376" spans="1:4" ht="38.25">
      <c r="A376" s="48" t="s">
        <v>99</v>
      </c>
      <c r="B376" s="4" t="s">
        <v>51</v>
      </c>
      <c r="C376" s="16">
        <f>'4 месяца'!C375+'8 месяцев'!C376</f>
        <v>2311.6</v>
      </c>
      <c r="D376" s="16">
        <f>'4 месяца'!D375+'8 месяцев'!D376</f>
        <v>0</v>
      </c>
    </row>
    <row r="377" spans="1:4" ht="25.5" hidden="1">
      <c r="A377" s="48" t="s">
        <v>232</v>
      </c>
      <c r="B377" s="4" t="s">
        <v>51</v>
      </c>
      <c r="C377" s="16"/>
      <c r="D377" s="16"/>
    </row>
    <row r="378" spans="1:4" ht="38.25" customHeight="1">
      <c r="A378" s="80" t="s">
        <v>90</v>
      </c>
      <c r="B378" s="3" t="s">
        <v>50</v>
      </c>
      <c r="C378" s="14">
        <f>C379+C380</f>
        <v>328810.1</v>
      </c>
      <c r="D378" s="14">
        <f>D379+D380</f>
        <v>281243.04000000004</v>
      </c>
    </row>
    <row r="379" spans="1:4" ht="25.5">
      <c r="A379" s="81"/>
      <c r="B379" s="3" t="s">
        <v>51</v>
      </c>
      <c r="C379" s="14">
        <f>C385+C391+C394+C389+C384+C404</f>
        <v>25492.4</v>
      </c>
      <c r="D379" s="14">
        <f>D385+D391+D394+D389+D384+D404</f>
        <v>25492.4</v>
      </c>
    </row>
    <row r="380" spans="1:4" ht="51">
      <c r="A380" s="81"/>
      <c r="B380" s="3" t="s">
        <v>101</v>
      </c>
      <c r="C380" s="14">
        <f>C381+C382+C383</f>
        <v>303317.69999999995</v>
      </c>
      <c r="D380" s="14">
        <f>D381+D382+D383</f>
        <v>255750.64</v>
      </c>
    </row>
    <row r="381" spans="1:10" ht="12.75">
      <c r="A381" s="81"/>
      <c r="B381" s="3" t="s">
        <v>52</v>
      </c>
      <c r="C381" s="14">
        <f>C387+C390+C392+C395+C386</f>
        <v>67579.5</v>
      </c>
      <c r="D381" s="14">
        <f>D387+D390+D392+D395+D386</f>
        <v>64590.44</v>
      </c>
      <c r="J381" s="66"/>
    </row>
    <row r="382" spans="1:4" ht="12.75">
      <c r="A382" s="81"/>
      <c r="B382" s="3" t="s">
        <v>54</v>
      </c>
      <c r="C382" s="14">
        <f>C403+C388+C393+C396</f>
        <v>27517.9</v>
      </c>
      <c r="D382" s="14">
        <f>D403+D388+D393+D396</f>
        <v>22593.7</v>
      </c>
    </row>
    <row r="383" spans="1:4" ht="25.5">
      <c r="A383" s="82"/>
      <c r="B383" s="3" t="s">
        <v>143</v>
      </c>
      <c r="C383" s="14">
        <f>C402</f>
        <v>208220.3</v>
      </c>
      <c r="D383" s="14">
        <f>D402</f>
        <v>168566.5</v>
      </c>
    </row>
    <row r="384" spans="1:4" ht="48.75" customHeight="1" hidden="1">
      <c r="A384" s="56" t="s">
        <v>222</v>
      </c>
      <c r="B384" s="10" t="s">
        <v>51</v>
      </c>
      <c r="C384" s="23"/>
      <c r="D384" s="23"/>
    </row>
    <row r="385" spans="1:4" ht="35.25" customHeight="1" hidden="1">
      <c r="A385" s="49" t="s">
        <v>25</v>
      </c>
      <c r="B385" s="10" t="s">
        <v>51</v>
      </c>
      <c r="C385" s="21"/>
      <c r="D385" s="21"/>
    </row>
    <row r="386" spans="1:4" ht="78.75" customHeight="1" hidden="1">
      <c r="A386" s="69" t="s">
        <v>254</v>
      </c>
      <c r="B386" s="10" t="s">
        <v>52</v>
      </c>
      <c r="C386" s="21">
        <f>'4 месяца'!C385+'8 месяцев'!C386</f>
        <v>0</v>
      </c>
      <c r="D386" s="21">
        <f>'4 месяца'!D385+'8 месяцев'!D386</f>
        <v>0</v>
      </c>
    </row>
    <row r="387" spans="1:4" ht="16.5" customHeight="1">
      <c r="A387" s="103" t="s">
        <v>26</v>
      </c>
      <c r="B387" s="10" t="s">
        <v>52</v>
      </c>
      <c r="C387" s="21">
        <f>'4 месяца'!C386+'8 месяцев'!C387</f>
        <v>5626.4</v>
      </c>
      <c r="D387" s="21">
        <f>'4 месяца'!D386+'8 месяцев'!D387</f>
        <v>4462.3</v>
      </c>
    </row>
    <row r="388" spans="1:10" ht="37.5" customHeight="1">
      <c r="A388" s="104"/>
      <c r="B388" s="10" t="s">
        <v>54</v>
      </c>
      <c r="C388" s="21">
        <f>'4 месяца'!C387+'8 месяцев'!C388</f>
        <v>2554.9</v>
      </c>
      <c r="D388" s="21">
        <f>'4 месяца'!D387+'8 месяцев'!D388</f>
        <v>2316.4</v>
      </c>
      <c r="J388" s="66"/>
    </row>
    <row r="389" spans="1:4" ht="37.5" customHeight="1" hidden="1">
      <c r="A389" s="94"/>
      <c r="B389" s="10" t="s">
        <v>51</v>
      </c>
      <c r="C389" s="21">
        <f>'4 месяца'!C388+'8 месяцев'!C389</f>
        <v>0</v>
      </c>
      <c r="D389" s="21">
        <f>'4 месяца'!D388+'8 месяцев'!D389</f>
        <v>0</v>
      </c>
    </row>
    <row r="390" spans="1:10" ht="38.25">
      <c r="A390" s="49" t="s">
        <v>27</v>
      </c>
      <c r="B390" s="10" t="s">
        <v>52</v>
      </c>
      <c r="C390" s="21">
        <f>'4 месяца'!C389+'8 месяцев'!C390</f>
        <v>60137.5</v>
      </c>
      <c r="D390" s="21">
        <f>'4 месяца'!D389+'8 месяцев'!D390</f>
        <v>59962.54</v>
      </c>
      <c r="F390" s="58">
        <v>11578803</v>
      </c>
      <c r="J390" s="66"/>
    </row>
    <row r="391" spans="1:4" ht="25.5">
      <c r="A391" s="92" t="s">
        <v>157</v>
      </c>
      <c r="B391" s="10" t="s">
        <v>51</v>
      </c>
      <c r="C391" s="21">
        <f>'4 месяца'!C390+'8 месяцев'!C391</f>
        <v>209.9</v>
      </c>
      <c r="D391" s="21">
        <f>'4 месяца'!D390+'8 месяцев'!D391</f>
        <v>209.9</v>
      </c>
    </row>
    <row r="392" spans="1:10" ht="12.75">
      <c r="A392" s="93"/>
      <c r="B392" s="10" t="s">
        <v>52</v>
      </c>
      <c r="C392" s="21">
        <f>'4 месяца'!C391+'8 месяцев'!C392</f>
        <v>165.6</v>
      </c>
      <c r="D392" s="21">
        <f>'4 месяца'!D391+'8 месяцев'!D392</f>
        <v>165.6</v>
      </c>
      <c r="E392" s="62"/>
      <c r="F392" s="62">
        <v>173792.44</v>
      </c>
      <c r="G392" s="62"/>
      <c r="H392" s="62"/>
      <c r="J392" s="66"/>
    </row>
    <row r="393" spans="1:4" ht="21" customHeight="1">
      <c r="A393" s="94"/>
      <c r="B393" s="10" t="s">
        <v>54</v>
      </c>
      <c r="C393" s="21">
        <f>'4 месяца'!C392+'8 месяцев'!C393</f>
        <v>263.7</v>
      </c>
      <c r="D393" s="21">
        <f>'4 месяца'!D392+'8 месяцев'!D393</f>
        <v>263.7</v>
      </c>
    </row>
    <row r="394" spans="1:4" ht="48" customHeight="1" hidden="1">
      <c r="A394" s="92" t="s">
        <v>221</v>
      </c>
      <c r="B394" s="10" t="s">
        <v>51</v>
      </c>
      <c r="C394" s="21">
        <f>'4 месяца'!C393+'8 месяцев'!C394</f>
        <v>0</v>
      </c>
      <c r="D394" s="21">
        <f>'4 месяца'!D393+'8 месяцев'!D394</f>
        <v>0</v>
      </c>
    </row>
    <row r="395" spans="1:10" ht="48" customHeight="1">
      <c r="A395" s="96"/>
      <c r="B395" s="10" t="s">
        <v>52</v>
      </c>
      <c r="C395" s="21">
        <f>'4 месяца'!C394+'8 месяцев'!C395</f>
        <v>1650</v>
      </c>
      <c r="D395" s="21">
        <f>'4 месяца'!D394+'8 месяцев'!D395</f>
        <v>0</v>
      </c>
      <c r="J395" s="66"/>
    </row>
    <row r="396" spans="1:4" ht="42" customHeight="1" hidden="1">
      <c r="A396" s="49" t="s">
        <v>158</v>
      </c>
      <c r="B396" s="10" t="s">
        <v>54</v>
      </c>
      <c r="C396" s="21"/>
      <c r="D396" s="21"/>
    </row>
    <row r="397" spans="1:6" ht="48" customHeight="1">
      <c r="A397" s="100" t="s">
        <v>191</v>
      </c>
      <c r="B397" s="27" t="s">
        <v>50</v>
      </c>
      <c r="C397" s="28">
        <f>C399+C398</f>
        <v>258202.09999999998</v>
      </c>
      <c r="D397" s="28">
        <f>D399+D398</f>
        <v>213862.6</v>
      </c>
      <c r="E397" s="58">
        <v>133286676.97</v>
      </c>
      <c r="F397" s="58">
        <v>59310167.77</v>
      </c>
    </row>
    <row r="398" spans="1:4" ht="25.5">
      <c r="A398" s="101"/>
      <c r="B398" s="38" t="s">
        <v>51</v>
      </c>
      <c r="C398" s="28">
        <f>C404</f>
        <v>25282.5</v>
      </c>
      <c r="D398" s="28">
        <f>D404</f>
        <v>25282.5</v>
      </c>
    </row>
    <row r="399" spans="1:4" ht="38.25">
      <c r="A399" s="101"/>
      <c r="B399" s="27" t="s">
        <v>56</v>
      </c>
      <c r="C399" s="28">
        <f>C400+C401</f>
        <v>232919.59999999998</v>
      </c>
      <c r="D399" s="28">
        <f>D400+D401</f>
        <v>188580.1</v>
      </c>
    </row>
    <row r="400" spans="1:4" ht="12.75">
      <c r="A400" s="101"/>
      <c r="B400" s="27" t="s">
        <v>54</v>
      </c>
      <c r="C400" s="28">
        <f>C403</f>
        <v>24699.3</v>
      </c>
      <c r="D400" s="28">
        <f>D403</f>
        <v>20013.6</v>
      </c>
    </row>
    <row r="401" spans="1:4" ht="25.5">
      <c r="A401" s="102"/>
      <c r="B401" s="27" t="s">
        <v>143</v>
      </c>
      <c r="C401" s="28">
        <f>C402</f>
        <v>208220.3</v>
      </c>
      <c r="D401" s="28">
        <f>D402</f>
        <v>168566.5</v>
      </c>
    </row>
    <row r="402" spans="1:4" ht="33" customHeight="1">
      <c r="A402" s="92" t="s">
        <v>100</v>
      </c>
      <c r="B402" s="10" t="s">
        <v>143</v>
      </c>
      <c r="C402" s="21">
        <f>'4 месяца'!C401+'8 месяцев'!C402</f>
        <v>208220.3</v>
      </c>
      <c r="D402" s="21">
        <f>'4 месяца'!D401+'8 месяцев'!D402</f>
        <v>168566.5</v>
      </c>
    </row>
    <row r="403" spans="1:4" ht="25.5" customHeight="1">
      <c r="A403" s="93"/>
      <c r="B403" s="10" t="s">
        <v>54</v>
      </c>
      <c r="C403" s="21">
        <f>'4 месяца'!C402+'8 месяцев'!C403</f>
        <v>24699.3</v>
      </c>
      <c r="D403" s="21">
        <f>'4 месяца'!D402+'8 месяцев'!D403</f>
        <v>20013.6</v>
      </c>
    </row>
    <row r="404" spans="1:4" ht="28.5" customHeight="1">
      <c r="A404" s="96"/>
      <c r="B404" s="10" t="s">
        <v>51</v>
      </c>
      <c r="C404" s="21">
        <f>'4 месяца'!C403+'8 месяцев'!C404</f>
        <v>25282.5</v>
      </c>
      <c r="D404" s="21">
        <f>'4 месяца'!D403+'8 месяцев'!D404</f>
        <v>25282.5</v>
      </c>
    </row>
    <row r="405" spans="1:5" ht="38.25" customHeight="1">
      <c r="A405" s="95" t="s">
        <v>91</v>
      </c>
      <c r="B405" s="3" t="s">
        <v>50</v>
      </c>
      <c r="C405" s="14">
        <f>C406+C407</f>
        <v>9491.099999999999</v>
      </c>
      <c r="D405" s="14">
        <f>D406+D407</f>
        <v>9419.7</v>
      </c>
      <c r="E405" s="58">
        <v>0.1</v>
      </c>
    </row>
    <row r="406" spans="1:4" ht="60" customHeight="1">
      <c r="A406" s="95"/>
      <c r="B406" s="3" t="s">
        <v>51</v>
      </c>
      <c r="C406" s="14">
        <f>C408+C409+C410+C411+C412+C413+C414</f>
        <v>9491.099999999999</v>
      </c>
      <c r="D406" s="14">
        <f>D408+D409+D410+D411+D412+D413</f>
        <v>9419.7</v>
      </c>
    </row>
    <row r="407" spans="1:4" ht="38.25" hidden="1">
      <c r="A407" s="95"/>
      <c r="B407" s="3" t="s">
        <v>56</v>
      </c>
      <c r="C407" s="14">
        <v>0</v>
      </c>
      <c r="D407" s="14">
        <v>0</v>
      </c>
    </row>
    <row r="408" spans="1:4" ht="25.5">
      <c r="A408" s="48" t="s">
        <v>92</v>
      </c>
      <c r="B408" s="4" t="s">
        <v>51</v>
      </c>
      <c r="C408" s="16">
        <f>'4 месяца'!C407+'8 месяцев'!C408</f>
        <v>389.5</v>
      </c>
      <c r="D408" s="16">
        <f>'4 месяца'!D407+'8 месяцев'!D408</f>
        <v>389.3</v>
      </c>
    </row>
    <row r="409" spans="1:4" ht="25.5">
      <c r="A409" s="48" t="s">
        <v>93</v>
      </c>
      <c r="B409" s="4" t="s">
        <v>51</v>
      </c>
      <c r="C409" s="16">
        <f>'4 месяца'!C408+'8 месяцев'!C409</f>
        <v>186.5</v>
      </c>
      <c r="D409" s="16">
        <f>'4 месяца'!D408+'8 месяцев'!D409</f>
        <v>186.4</v>
      </c>
    </row>
    <row r="410" spans="1:4" ht="25.5">
      <c r="A410" s="48" t="s">
        <v>28</v>
      </c>
      <c r="B410" s="4" t="s">
        <v>51</v>
      </c>
      <c r="C410" s="16">
        <f>'4 месяца'!C409+'8 месяцев'!C410</f>
        <v>8683.9</v>
      </c>
      <c r="D410" s="16">
        <f>'4 месяца'!D409+'8 месяцев'!D410</f>
        <v>8612.9</v>
      </c>
    </row>
    <row r="411" spans="1:4" ht="25.5">
      <c r="A411" s="48" t="s">
        <v>214</v>
      </c>
      <c r="B411" s="4" t="s">
        <v>51</v>
      </c>
      <c r="C411" s="16">
        <f>'4 месяца'!C410+'8 месяцев'!C411</f>
        <v>134.9</v>
      </c>
      <c r="D411" s="16">
        <f>'4 месяца'!D410+'8 месяцев'!D411</f>
        <v>134.9</v>
      </c>
    </row>
    <row r="412" spans="1:4" ht="25.5">
      <c r="A412" s="40" t="s">
        <v>183</v>
      </c>
      <c r="B412" s="4" t="s">
        <v>51</v>
      </c>
      <c r="C412" s="16">
        <f>'4 месяца'!C411+'8 месяцев'!C412</f>
        <v>96.3</v>
      </c>
      <c r="D412" s="16">
        <f>'4 месяца'!D411+'8 месяцев'!D412</f>
        <v>96.2</v>
      </c>
    </row>
    <row r="413" spans="1:4" ht="38.25" hidden="1">
      <c r="A413" s="40" t="s">
        <v>224</v>
      </c>
      <c r="B413" s="4" t="s">
        <v>51</v>
      </c>
      <c r="C413" s="16">
        <f>'4 месяца'!C412+'8 месяцев'!C413</f>
        <v>0</v>
      </c>
      <c r="D413" s="16">
        <f>'4 месяца'!D412+'8 месяцев'!D413</f>
        <v>0</v>
      </c>
    </row>
    <row r="414" spans="1:4" ht="51" hidden="1">
      <c r="A414" s="40" t="s">
        <v>250</v>
      </c>
      <c r="B414" s="4" t="s">
        <v>51</v>
      </c>
      <c r="C414" s="16">
        <f>'4 месяца'!C413+'8 месяцев'!C414</f>
        <v>0</v>
      </c>
      <c r="D414" s="16">
        <f>'4 месяца'!D413+'8 месяцев'!D414</f>
        <v>0</v>
      </c>
    </row>
    <row r="415" spans="1:4" ht="29.25" customHeight="1">
      <c r="A415" s="80" t="s">
        <v>154</v>
      </c>
      <c r="B415" s="3" t="s">
        <v>50</v>
      </c>
      <c r="C415" s="14">
        <f>C416+C418</f>
        <v>13458.3</v>
      </c>
      <c r="D415" s="14">
        <f>D416+D418</f>
        <v>13458.2</v>
      </c>
    </row>
    <row r="416" spans="1:4" ht="21.75" customHeight="1">
      <c r="A416" s="81"/>
      <c r="B416" s="87" t="s">
        <v>51</v>
      </c>
      <c r="C416" s="75">
        <f>C422+C423+C425</f>
        <v>1487.3</v>
      </c>
      <c r="D416" s="75">
        <f>D422+D423+D425</f>
        <v>1487.1999999999998</v>
      </c>
    </row>
    <row r="417" spans="1:4" ht="12.75">
      <c r="A417" s="81"/>
      <c r="B417" s="88"/>
      <c r="C417" s="76"/>
      <c r="D417" s="76"/>
    </row>
    <row r="418" spans="1:4" ht="56.25" customHeight="1">
      <c r="A418" s="90"/>
      <c r="B418" s="3" t="s">
        <v>101</v>
      </c>
      <c r="C418" s="18">
        <f>C419+C420+C421</f>
        <v>11971</v>
      </c>
      <c r="D418" s="18">
        <f>D419+D420+D421</f>
        <v>11971</v>
      </c>
    </row>
    <row r="419" spans="1:4" ht="13.5" customHeight="1">
      <c r="A419" s="90"/>
      <c r="B419" s="3" t="s">
        <v>52</v>
      </c>
      <c r="C419" s="18">
        <f>C430+C433</f>
        <v>11611.9</v>
      </c>
      <c r="D419" s="18">
        <f>D430+D433</f>
        <v>11611.9</v>
      </c>
    </row>
    <row r="420" spans="1:4" ht="18.75" customHeight="1">
      <c r="A420" s="90"/>
      <c r="B420" s="3" t="s">
        <v>54</v>
      </c>
      <c r="C420" s="18">
        <f>C431+C434</f>
        <v>359.1</v>
      </c>
      <c r="D420" s="18">
        <f>D431+D434</f>
        <v>359.1</v>
      </c>
    </row>
    <row r="421" spans="1:4" ht="30" customHeight="1" hidden="1">
      <c r="A421" s="91"/>
      <c r="B421" s="3" t="s">
        <v>165</v>
      </c>
      <c r="C421" s="18">
        <v>0</v>
      </c>
      <c r="D421" s="18">
        <v>0</v>
      </c>
    </row>
    <row r="422" spans="1:4" ht="42" customHeight="1">
      <c r="A422" s="51" t="s">
        <v>179</v>
      </c>
      <c r="B422" s="4" t="s">
        <v>51</v>
      </c>
      <c r="C422" s="24">
        <f>'4 месяца'!C421+'8 месяцев'!C422</f>
        <v>163.5</v>
      </c>
      <c r="D422" s="23">
        <f>'4 месяца'!D421+'8 месяцев'!D422</f>
        <v>163.5</v>
      </c>
    </row>
    <row r="423" spans="1:4" ht="39" customHeight="1">
      <c r="A423" s="51" t="s">
        <v>230</v>
      </c>
      <c r="B423" s="4" t="s">
        <v>51</v>
      </c>
      <c r="C423" s="24">
        <f>'4 месяца'!C422+'8 месяцев'!C423</f>
        <v>126.7</v>
      </c>
      <c r="D423" s="23">
        <f>'4 месяца'!D422+'8 месяцев'!D423</f>
        <v>126.6</v>
      </c>
    </row>
    <row r="424" spans="1:6" ht="40.5" customHeight="1">
      <c r="A424" s="97" t="s">
        <v>187</v>
      </c>
      <c r="B424" s="27" t="s">
        <v>50</v>
      </c>
      <c r="C424" s="29">
        <f>C425+C426</f>
        <v>13168.1</v>
      </c>
      <c r="D424" s="29">
        <f>D425+D426</f>
        <v>13168.1</v>
      </c>
      <c r="E424" s="58">
        <v>16535400</v>
      </c>
      <c r="F424" s="58">
        <v>16535400</v>
      </c>
    </row>
    <row r="425" spans="1:4" ht="33" customHeight="1">
      <c r="A425" s="98"/>
      <c r="B425" s="27" t="s">
        <v>51</v>
      </c>
      <c r="C425" s="29">
        <f>C429+C432</f>
        <v>1197.1</v>
      </c>
      <c r="D425" s="29">
        <f>D429+D432</f>
        <v>1197.1</v>
      </c>
    </row>
    <row r="426" spans="1:4" ht="59.25" customHeight="1">
      <c r="A426" s="98"/>
      <c r="B426" s="27" t="s">
        <v>101</v>
      </c>
      <c r="C426" s="29">
        <f>C427+C428</f>
        <v>11971</v>
      </c>
      <c r="D426" s="29">
        <f>D427+D428</f>
        <v>11971</v>
      </c>
    </row>
    <row r="427" spans="1:35" ht="15.75" customHeight="1">
      <c r="A427" s="98"/>
      <c r="B427" s="27" t="s">
        <v>52</v>
      </c>
      <c r="C427" s="29">
        <f>C430+C433</f>
        <v>11611.9</v>
      </c>
      <c r="D427" s="29">
        <f>D430+D433</f>
        <v>11611.9</v>
      </c>
      <c r="E427" s="62"/>
      <c r="F427" s="62"/>
      <c r="G427" s="62"/>
      <c r="H427" s="62"/>
      <c r="AI427" s="63"/>
    </row>
    <row r="428" spans="1:4" ht="12.75" customHeight="1">
      <c r="A428" s="99"/>
      <c r="B428" s="27" t="s">
        <v>54</v>
      </c>
      <c r="C428" s="29">
        <f>C431+C434</f>
        <v>359.1</v>
      </c>
      <c r="D428" s="29">
        <f>D431+D434</f>
        <v>359.1</v>
      </c>
    </row>
    <row r="429" spans="1:4" ht="25.5">
      <c r="A429" s="73" t="s">
        <v>155</v>
      </c>
      <c r="B429" s="4" t="s">
        <v>51</v>
      </c>
      <c r="C429" s="21">
        <f>'4 месяца'!C428+'8 месяцев'!C429</f>
        <v>340</v>
      </c>
      <c r="D429" s="21">
        <f>'4 месяца'!D428+'8 месяцев'!D429</f>
        <v>340</v>
      </c>
    </row>
    <row r="430" spans="1:4" ht="12.75">
      <c r="A430" s="86"/>
      <c r="B430" s="4" t="s">
        <v>52</v>
      </c>
      <c r="C430" s="21">
        <f>'4 месяца'!C429+'8 месяцев'!C430</f>
        <v>3298</v>
      </c>
      <c r="D430" s="21">
        <f>'4 месяца'!D429+'8 месяцев'!D430</f>
        <v>3298</v>
      </c>
    </row>
    <row r="431" spans="1:4" ht="12.75">
      <c r="A431" s="86"/>
      <c r="B431" s="4" t="s">
        <v>54</v>
      </c>
      <c r="C431" s="21">
        <f>'4 месяца'!C430+'8 месяцев'!C431</f>
        <v>102</v>
      </c>
      <c r="D431" s="21">
        <f>'4 месяца'!D430+'8 месяцев'!D431</f>
        <v>102</v>
      </c>
    </row>
    <row r="432" spans="1:4" ht="25.5">
      <c r="A432" s="73" t="s">
        <v>156</v>
      </c>
      <c r="B432" s="4" t="s">
        <v>51</v>
      </c>
      <c r="C432" s="21">
        <f>'4 месяца'!C431+'8 месяцев'!C432</f>
        <v>857.1</v>
      </c>
      <c r="D432" s="21">
        <f>'4 месяца'!D431+'8 месяцев'!D432</f>
        <v>857.1</v>
      </c>
    </row>
    <row r="433" spans="1:4" ht="12.75">
      <c r="A433" s="86"/>
      <c r="B433" s="4" t="s">
        <v>52</v>
      </c>
      <c r="C433" s="21">
        <f>'4 месяца'!C432+'8 месяцев'!C433</f>
        <v>8313.9</v>
      </c>
      <c r="D433" s="21">
        <f>'4 месяца'!D432+'8 месяцев'!D433</f>
        <v>8313.9</v>
      </c>
    </row>
    <row r="434" spans="1:4" ht="12.75">
      <c r="A434" s="74"/>
      <c r="B434" s="4" t="s">
        <v>54</v>
      </c>
      <c r="C434" s="21">
        <f>'4 месяца'!C433+'8 месяцев'!C434</f>
        <v>257.1</v>
      </c>
      <c r="D434" s="21">
        <f>'4 месяца'!D433+'8 месяцев'!D434</f>
        <v>257.1</v>
      </c>
    </row>
    <row r="435" spans="1:4" ht="38.25" customHeight="1">
      <c r="A435" s="95" t="s">
        <v>94</v>
      </c>
      <c r="B435" s="3" t="s">
        <v>50</v>
      </c>
      <c r="C435" s="14">
        <f>C436+C437</f>
        <v>21.6</v>
      </c>
      <c r="D435" s="14">
        <f>D436+D437</f>
        <v>19.3</v>
      </c>
    </row>
    <row r="436" spans="1:4" ht="26.25" customHeight="1">
      <c r="A436" s="95"/>
      <c r="B436" s="87" t="s">
        <v>51</v>
      </c>
      <c r="C436" s="75">
        <f>C439+C438</f>
        <v>21.6</v>
      </c>
      <c r="D436" s="75">
        <f>D439+D438</f>
        <v>19.3</v>
      </c>
    </row>
    <row r="437" spans="1:4" ht="12.75">
      <c r="A437" s="95"/>
      <c r="B437" s="88"/>
      <c r="C437" s="76"/>
      <c r="D437" s="76"/>
    </row>
    <row r="438" spans="1:4" ht="25.5" hidden="1">
      <c r="A438" s="50" t="s">
        <v>215</v>
      </c>
      <c r="B438" s="4" t="s">
        <v>51</v>
      </c>
      <c r="C438" s="24">
        <f>'4 месяца'!C437+'8 месяцев'!C438</f>
        <v>0</v>
      </c>
      <c r="D438" s="24">
        <f>'4 месяца'!D437+'8 месяцев'!D438</f>
        <v>0</v>
      </c>
    </row>
    <row r="439" spans="1:4" ht="25.5">
      <c r="A439" s="48" t="s">
        <v>29</v>
      </c>
      <c r="B439" s="4" t="s">
        <v>51</v>
      </c>
      <c r="C439" s="24">
        <f>'4 месяца'!C438+'8 месяцев'!C439</f>
        <v>21.6</v>
      </c>
      <c r="D439" s="24">
        <f>'4 месяца'!D438+'8 месяцев'!D439</f>
        <v>19.3</v>
      </c>
    </row>
    <row r="440" spans="1:4" ht="38.25" customHeight="1">
      <c r="A440" s="95" t="s">
        <v>216</v>
      </c>
      <c r="B440" s="3" t="s">
        <v>50</v>
      </c>
      <c r="C440" s="14">
        <f>C441+C442</f>
        <v>9</v>
      </c>
      <c r="D440" s="14">
        <f>D441+D442</f>
        <v>9</v>
      </c>
    </row>
    <row r="441" spans="1:4" ht="26.25" customHeight="1">
      <c r="A441" s="95"/>
      <c r="B441" s="87" t="s">
        <v>51</v>
      </c>
      <c r="C441" s="75">
        <f>C446+C443+C444+C445</f>
        <v>9</v>
      </c>
      <c r="D441" s="75">
        <f>D446+D443+D444+D445</f>
        <v>9</v>
      </c>
    </row>
    <row r="442" spans="1:4" ht="12.75">
      <c r="A442" s="95"/>
      <c r="B442" s="88"/>
      <c r="C442" s="76"/>
      <c r="D442" s="76"/>
    </row>
    <row r="443" spans="1:4" ht="25.5" hidden="1">
      <c r="A443" s="50" t="s">
        <v>217</v>
      </c>
      <c r="B443" s="4" t="s">
        <v>51</v>
      </c>
      <c r="C443" s="24">
        <f>'4 месяца'!C442+'8 месяцев'!C443</f>
        <v>0</v>
      </c>
      <c r="D443" s="24">
        <f>'4 месяца'!D442+'8 месяцев'!D443</f>
        <v>0</v>
      </c>
    </row>
    <row r="444" spans="1:4" ht="25.5" hidden="1">
      <c r="A444" s="48" t="s">
        <v>218</v>
      </c>
      <c r="B444" s="4" t="s">
        <v>51</v>
      </c>
      <c r="C444" s="24">
        <f>'4 месяца'!C443+'8 месяцев'!C444</f>
        <v>0</v>
      </c>
      <c r="D444" s="24">
        <f>'4 месяца'!D443+'8 месяцев'!D444</f>
        <v>0</v>
      </c>
    </row>
    <row r="445" spans="1:4" ht="25.5" hidden="1">
      <c r="A445" s="50" t="s">
        <v>219</v>
      </c>
      <c r="B445" s="4" t="s">
        <v>51</v>
      </c>
      <c r="C445" s="24">
        <f>'4 месяца'!C444+'8 месяцев'!C445</f>
        <v>0</v>
      </c>
      <c r="D445" s="24">
        <f>'4 месяца'!D444+'8 месяцев'!D445</f>
        <v>0</v>
      </c>
    </row>
    <row r="446" spans="1:4" ht="25.5">
      <c r="A446" s="48" t="s">
        <v>220</v>
      </c>
      <c r="B446" s="4" t="s">
        <v>51</v>
      </c>
      <c r="C446" s="24">
        <f>'4 месяца'!C445+'8 месяцев'!C446</f>
        <v>9</v>
      </c>
      <c r="D446" s="24">
        <f>'4 месяца'!D445+'8 месяцев'!D446</f>
        <v>9</v>
      </c>
    </row>
    <row r="447" ht="12.75">
      <c r="B447" s="7"/>
    </row>
    <row r="448" ht="12.75">
      <c r="B448" s="7"/>
    </row>
    <row r="449" ht="12.75">
      <c r="B449" s="7"/>
    </row>
    <row r="451" ht="12.75">
      <c r="E451" s="60"/>
    </row>
  </sheetData>
  <sheetProtection/>
  <autoFilter ref="B1:B451"/>
  <mergeCells count="99">
    <mergeCell ref="I17:I18"/>
    <mergeCell ref="A7:D7"/>
    <mergeCell ref="D441:D442"/>
    <mergeCell ref="A394:A395"/>
    <mergeCell ref="A107:A108"/>
    <mergeCell ref="A111:A112"/>
    <mergeCell ref="A117:A118"/>
    <mergeCell ref="A194:A195"/>
    <mergeCell ref="A440:A442"/>
    <mergeCell ref="B441:B442"/>
    <mergeCell ref="A60:A61"/>
    <mergeCell ref="B4:D4"/>
    <mergeCell ref="C41:C42"/>
    <mergeCell ref="A8:D8"/>
    <mergeCell ref="A26:A28"/>
    <mergeCell ref="C441:C442"/>
    <mergeCell ref="A312:A314"/>
    <mergeCell ref="A189:A190"/>
    <mergeCell ref="A341:A342"/>
    <mergeCell ref="D41:D42"/>
    <mergeCell ref="A435:A437"/>
    <mergeCell ref="C63:C64"/>
    <mergeCell ref="A40:A45"/>
    <mergeCell ref="A47:A51"/>
    <mergeCell ref="A155:A158"/>
    <mergeCell ref="A163:A166"/>
    <mergeCell ref="A239:A242"/>
    <mergeCell ref="A186:A187"/>
    <mergeCell ref="A55:A59"/>
    <mergeCell ref="A305:A307"/>
    <mergeCell ref="D416:D417"/>
    <mergeCell ref="A9:D9"/>
    <mergeCell ref="A33:A35"/>
    <mergeCell ref="D63:D64"/>
    <mergeCell ref="A129:A133"/>
    <mergeCell ref="B63:B64"/>
    <mergeCell ref="A114:A115"/>
    <mergeCell ref="B11:B12"/>
    <mergeCell ref="B41:B42"/>
    <mergeCell ref="A14:A19"/>
    <mergeCell ref="B3:D3"/>
    <mergeCell ref="A127:A128"/>
    <mergeCell ref="A123:A126"/>
    <mergeCell ref="A62:A64"/>
    <mergeCell ref="A52:A54"/>
    <mergeCell ref="B1:D1"/>
    <mergeCell ref="A20:A25"/>
    <mergeCell ref="A11:A12"/>
    <mergeCell ref="B2:D2"/>
    <mergeCell ref="C11:D11"/>
    <mergeCell ref="A69:A73"/>
    <mergeCell ref="A74:A77"/>
    <mergeCell ref="A397:A401"/>
    <mergeCell ref="A352:A355"/>
    <mergeCell ref="A273:A276"/>
    <mergeCell ref="A324:A325"/>
    <mergeCell ref="A169:A173"/>
    <mergeCell ref="A191:A193"/>
    <mergeCell ref="A289:A291"/>
    <mergeCell ref="A121:A122"/>
    <mergeCell ref="D436:D437"/>
    <mergeCell ref="A210:A214"/>
    <mergeCell ref="A259:A262"/>
    <mergeCell ref="A151:A153"/>
    <mergeCell ref="A265:A267"/>
    <mergeCell ref="A369:A371"/>
    <mergeCell ref="D306:D307"/>
    <mergeCell ref="B306:B307"/>
    <mergeCell ref="A387:A389"/>
    <mergeCell ref="A343:A344"/>
    <mergeCell ref="C436:C437"/>
    <mergeCell ref="C416:C417"/>
    <mergeCell ref="A350:A351"/>
    <mergeCell ref="A432:A434"/>
    <mergeCell ref="A429:A431"/>
    <mergeCell ref="A405:A407"/>
    <mergeCell ref="B436:B437"/>
    <mergeCell ref="A402:A404"/>
    <mergeCell ref="A424:A428"/>
    <mergeCell ref="A378:A383"/>
    <mergeCell ref="B416:B417"/>
    <mergeCell ref="A317:A319"/>
    <mergeCell ref="A333:A336"/>
    <mergeCell ref="A322:A323"/>
    <mergeCell ref="A327:A329"/>
    <mergeCell ref="A345:A347"/>
    <mergeCell ref="A373:A375"/>
    <mergeCell ref="A415:A421"/>
    <mergeCell ref="A391:A393"/>
    <mergeCell ref="A149:A150"/>
    <mergeCell ref="C306:C307"/>
    <mergeCell ref="A277:A280"/>
    <mergeCell ref="A205:A209"/>
    <mergeCell ref="A196:A200"/>
    <mergeCell ref="A294:A297"/>
    <mergeCell ref="A301:A302"/>
    <mergeCell ref="A253:A255"/>
    <mergeCell ref="A256:A258"/>
    <mergeCell ref="A244:A248"/>
  </mergeCells>
  <printOptions/>
  <pageMargins left="0.6692913385826772" right="0.4724409448818898" top="0.2362204724409449" bottom="0.2755905511811024" header="0" footer="0"/>
  <pageSetup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0"/>
  <sheetViews>
    <sheetView zoomScalePageLayoutView="0" workbookViewId="0" topLeftCell="A1">
      <selection activeCell="I178" sqref="I178"/>
    </sheetView>
  </sheetViews>
  <sheetFormatPr defaultColWidth="8.875" defaultRowHeight="12.75"/>
  <cols>
    <col min="1" max="1" width="46.625" style="44" customWidth="1"/>
    <col min="2" max="2" width="28.75390625" style="1" customWidth="1"/>
    <col min="3" max="3" width="15.25390625" style="8" customWidth="1"/>
    <col min="4" max="4" width="16.375" style="8" customWidth="1"/>
    <col min="5" max="5" width="21.00390625" style="58" hidden="1" customWidth="1"/>
    <col min="6" max="6" width="16.375" style="58" hidden="1" customWidth="1"/>
    <col min="7" max="7" width="13.00390625" style="58" hidden="1" customWidth="1"/>
    <col min="8" max="8" width="12.625" style="58" hidden="1" customWidth="1"/>
    <col min="9" max="9" width="20.25390625" style="11" customWidth="1"/>
    <col min="10" max="10" width="17.75390625" style="11" customWidth="1"/>
    <col min="11" max="11" width="13.75390625" style="11" customWidth="1"/>
    <col min="12" max="34" width="8.875" style="11" customWidth="1"/>
    <col min="35" max="16384" width="8.875" style="1" customWidth="1"/>
  </cols>
  <sheetData>
    <row r="1" spans="1:4" ht="12.75">
      <c r="A1" s="41"/>
      <c r="B1" s="111" t="s">
        <v>102</v>
      </c>
      <c r="C1" s="111"/>
      <c r="D1" s="111"/>
    </row>
    <row r="2" spans="1:4" ht="12.75">
      <c r="A2" s="41"/>
      <c r="B2" s="111" t="s">
        <v>57</v>
      </c>
      <c r="C2" s="111"/>
      <c r="D2" s="111"/>
    </row>
    <row r="3" spans="1:4" ht="12.75">
      <c r="A3" s="41"/>
      <c r="B3" s="111" t="s">
        <v>58</v>
      </c>
      <c r="C3" s="111"/>
      <c r="D3" s="111"/>
    </row>
    <row r="4" spans="2:4" ht="11.25" customHeight="1">
      <c r="B4" s="111" t="s">
        <v>59</v>
      </c>
      <c r="C4" s="111"/>
      <c r="D4" s="111"/>
    </row>
    <row r="5" ht="5.25" customHeight="1"/>
    <row r="6" ht="4.5" customHeight="1"/>
    <row r="7" spans="1:4" ht="12.75">
      <c r="A7" s="118" t="s">
        <v>48</v>
      </c>
      <c r="B7" s="118"/>
      <c r="C7" s="118"/>
      <c r="D7" s="118"/>
    </row>
    <row r="8" spans="1:4" ht="12.75">
      <c r="A8" s="118" t="s">
        <v>49</v>
      </c>
      <c r="B8" s="118"/>
      <c r="C8" s="118"/>
      <c r="D8" s="118"/>
    </row>
    <row r="9" spans="1:4" ht="12.75">
      <c r="A9" s="118" t="s">
        <v>269</v>
      </c>
      <c r="B9" s="118"/>
      <c r="C9" s="118"/>
      <c r="D9" s="118"/>
    </row>
    <row r="10" ht="0.75" customHeight="1"/>
    <row r="11" spans="1:4" ht="12.75">
      <c r="A11" s="116" t="s">
        <v>197</v>
      </c>
      <c r="B11" s="119" t="s">
        <v>60</v>
      </c>
      <c r="C11" s="117" t="s">
        <v>196</v>
      </c>
      <c r="D11" s="117"/>
    </row>
    <row r="12" spans="1:10" ht="78" customHeight="1">
      <c r="A12" s="116"/>
      <c r="B12" s="119"/>
      <c r="C12" s="2" t="s">
        <v>268</v>
      </c>
      <c r="D12" s="2" t="s">
        <v>270</v>
      </c>
      <c r="E12" s="58">
        <v>1989647362.21</v>
      </c>
      <c r="F12" s="58">
        <v>1885818903.82</v>
      </c>
      <c r="I12" s="71"/>
      <c r="J12" s="71"/>
    </row>
    <row r="13" spans="1:10" ht="12.75">
      <c r="A13" s="45" t="s">
        <v>88</v>
      </c>
      <c r="B13" s="3"/>
      <c r="C13" s="12">
        <f>C26+C33+C40+C62+C69+C168+C204+C272+C304+C311+C377+C404+C414+C434+C195+C439</f>
        <v>527385.3</v>
      </c>
      <c r="D13" s="12">
        <f>D26+D33+D40+D62+D69+D168+D204+D272+D304+D311+D377+D404+D414+D434+D195+D439</f>
        <v>527384.3</v>
      </c>
      <c r="E13" s="58">
        <v>1989647.4</v>
      </c>
      <c r="F13" s="58">
        <v>1885518.9</v>
      </c>
      <c r="G13" s="59">
        <f>E13-C13</f>
        <v>1462262.0999999999</v>
      </c>
      <c r="H13" s="59">
        <f>F13-D13</f>
        <v>1358134.5999999999</v>
      </c>
      <c r="J13" s="66"/>
    </row>
    <row r="14" spans="1:11" ht="30" customHeight="1">
      <c r="A14" s="120"/>
      <c r="B14" s="3" t="s">
        <v>51</v>
      </c>
      <c r="C14" s="12">
        <f>C27+C34+C41+C63+C70+C169+C196+C205+C273+C305+C312+C378+C405+C415+C435+C440</f>
        <v>215217</v>
      </c>
      <c r="D14" s="12">
        <f>D27+D34+D41+D63+D70+D169+D196+D205+D273+D305+D312+D378+D405+D415+D435+D440</f>
        <v>215216</v>
      </c>
      <c r="I14" s="66"/>
      <c r="K14" s="66"/>
    </row>
    <row r="15" spans="1:11" ht="42.75" customHeight="1">
      <c r="A15" s="121"/>
      <c r="B15" s="3" t="s">
        <v>56</v>
      </c>
      <c r="C15" s="12">
        <f>C28+C35+C43+C71+C170+C197+C206+C274+C313+C379+C406+C417</f>
        <v>312168.3</v>
      </c>
      <c r="D15" s="12">
        <f>D28+D35+D43+D71+D170+D197+D206+D274+D313+D379+D406+D417</f>
        <v>312168.3</v>
      </c>
      <c r="I15" s="66"/>
      <c r="J15" s="66"/>
      <c r="K15" s="66"/>
    </row>
    <row r="16" spans="1:10" ht="13.5" customHeight="1">
      <c r="A16" s="121"/>
      <c r="B16" s="3" t="s">
        <v>52</v>
      </c>
      <c r="C16" s="13">
        <f>C44+C72+C172+C198+C207+C380+C418</f>
        <v>16245.300000000001</v>
      </c>
      <c r="D16" s="13">
        <f>D44+D72+D172+D198+D207+D380+D418</f>
        <v>16245.300000000001</v>
      </c>
      <c r="E16" s="58">
        <v>69011.1</v>
      </c>
      <c r="F16" s="58">
        <v>66792.5</v>
      </c>
      <c r="G16" s="60">
        <f>E16-C16</f>
        <v>52765.8</v>
      </c>
      <c r="H16" s="60">
        <f>F16-D16</f>
        <v>50547.2</v>
      </c>
      <c r="J16" s="60"/>
    </row>
    <row r="17" spans="1:11" ht="13.5" customHeight="1">
      <c r="A17" s="121"/>
      <c r="B17" s="3" t="s">
        <v>54</v>
      </c>
      <c r="C17" s="12">
        <f>C45+C73+C171+C199+C208+C275+C335+C354+C381+C419+C314</f>
        <v>270339.7</v>
      </c>
      <c r="D17" s="12">
        <f>D45+D73+D171+D199+D208+D275+D335+D354+D381+D419+D314</f>
        <v>270339.7</v>
      </c>
      <c r="I17" s="125"/>
      <c r="K17" s="60"/>
    </row>
    <row r="18" spans="1:10" ht="26.25" customHeight="1">
      <c r="A18" s="121"/>
      <c r="B18" s="3" t="s">
        <v>143</v>
      </c>
      <c r="C18" s="12">
        <f>C382</f>
        <v>25583.3</v>
      </c>
      <c r="D18" s="12">
        <f>D382</f>
        <v>25583.3</v>
      </c>
      <c r="I18" s="126"/>
      <c r="J18" s="66"/>
    </row>
    <row r="19" spans="1:4" ht="30" customHeight="1">
      <c r="A19" s="122"/>
      <c r="B19" s="3" t="s">
        <v>165</v>
      </c>
      <c r="C19" s="12">
        <f>C420</f>
        <v>0</v>
      </c>
      <c r="D19" s="12">
        <f>D420</f>
        <v>0</v>
      </c>
    </row>
    <row r="20" spans="1:8" ht="21" customHeight="1">
      <c r="A20" s="100" t="s">
        <v>188</v>
      </c>
      <c r="B20" s="27" t="s">
        <v>50</v>
      </c>
      <c r="C20" s="30">
        <f>C21+C22</f>
        <v>36498.8</v>
      </c>
      <c r="D20" s="30">
        <f>D21+D22</f>
        <v>36497.8</v>
      </c>
      <c r="E20" s="58">
        <v>169085.8</v>
      </c>
      <c r="F20" s="58">
        <v>94717.3</v>
      </c>
      <c r="G20" s="60">
        <f>E20-C20</f>
        <v>132587</v>
      </c>
      <c r="H20" s="60">
        <f>F20-D20</f>
        <v>58219.5</v>
      </c>
    </row>
    <row r="21" spans="1:8" ht="27" customHeight="1">
      <c r="A21" s="101"/>
      <c r="B21" s="27" t="s">
        <v>51</v>
      </c>
      <c r="C21" s="30">
        <f aca="true" t="shared" si="0" ref="C21:H21">C48+C56+C397+C424</f>
        <v>4370</v>
      </c>
      <c r="D21" s="30">
        <f t="shared" si="0"/>
        <v>4369</v>
      </c>
      <c r="E21" s="30">
        <f t="shared" si="0"/>
        <v>0</v>
      </c>
      <c r="F21" s="30">
        <f t="shared" si="0"/>
        <v>0</v>
      </c>
      <c r="G21" s="30">
        <f t="shared" si="0"/>
        <v>0</v>
      </c>
      <c r="H21" s="30">
        <f t="shared" si="0"/>
        <v>0</v>
      </c>
    </row>
    <row r="22" spans="1:4" ht="24.75" customHeight="1">
      <c r="A22" s="101"/>
      <c r="B22" s="27" t="s">
        <v>56</v>
      </c>
      <c r="C22" s="30">
        <f>C23+C24+C25</f>
        <v>32128.8</v>
      </c>
      <c r="D22" s="30">
        <f>D23+D24+D25</f>
        <v>32128.8</v>
      </c>
    </row>
    <row r="23" spans="1:4" ht="15" customHeight="1">
      <c r="A23" s="101"/>
      <c r="B23" s="27" t="s">
        <v>52</v>
      </c>
      <c r="C23" s="30">
        <f>C50+C58+C125+C241+C254+C426</f>
        <v>940</v>
      </c>
      <c r="D23" s="30">
        <f>D50+D58+D125+D241+D254+D426</f>
        <v>940</v>
      </c>
    </row>
    <row r="24" spans="1:4" ht="14.25" customHeight="1">
      <c r="A24" s="101"/>
      <c r="B24" s="27" t="s">
        <v>54</v>
      </c>
      <c r="C24" s="30">
        <f>C51+C59+C126+C152+C240+C253+C399+C427</f>
        <v>5605.5</v>
      </c>
      <c r="D24" s="30">
        <f>D51+D59+D126+D152+D240+D253+D399+D427</f>
        <v>5605.5</v>
      </c>
    </row>
    <row r="25" spans="1:4" ht="39" customHeight="1">
      <c r="A25" s="102"/>
      <c r="B25" s="27" t="s">
        <v>143</v>
      </c>
      <c r="C25" s="30">
        <f>C400</f>
        <v>25583.3</v>
      </c>
      <c r="D25" s="30">
        <f>D400</f>
        <v>25583.3</v>
      </c>
    </row>
    <row r="26" spans="1:4" ht="21.75" customHeight="1">
      <c r="A26" s="95" t="s">
        <v>61</v>
      </c>
      <c r="B26" s="3" t="s">
        <v>50</v>
      </c>
      <c r="C26" s="14">
        <f>C27+C28</f>
        <v>276.2</v>
      </c>
      <c r="D26" s="14">
        <f>D27+D28</f>
        <v>276.2</v>
      </c>
    </row>
    <row r="27" spans="1:4" ht="36" customHeight="1">
      <c r="A27" s="95"/>
      <c r="B27" s="3" t="s">
        <v>51</v>
      </c>
      <c r="C27" s="14">
        <f>C29+C30+C31+C32</f>
        <v>276.2</v>
      </c>
      <c r="D27" s="14">
        <f>D29+D30+D31+D32</f>
        <v>276.2</v>
      </c>
    </row>
    <row r="28" spans="1:4" ht="56.25" customHeight="1">
      <c r="A28" s="95"/>
      <c r="B28" s="3" t="s">
        <v>56</v>
      </c>
      <c r="C28" s="14">
        <v>0</v>
      </c>
      <c r="D28" s="14">
        <v>0</v>
      </c>
    </row>
    <row r="29" spans="1:4" ht="25.5" hidden="1">
      <c r="A29" s="46" t="s">
        <v>62</v>
      </c>
      <c r="B29" s="4" t="s">
        <v>51</v>
      </c>
      <c r="C29" s="15">
        <v>0</v>
      </c>
      <c r="D29" s="15">
        <v>0</v>
      </c>
    </row>
    <row r="30" spans="1:4" ht="38.25" hidden="1">
      <c r="A30" s="46" t="s">
        <v>63</v>
      </c>
      <c r="B30" s="4" t="s">
        <v>51</v>
      </c>
      <c r="C30" s="15">
        <v>0</v>
      </c>
      <c r="D30" s="15">
        <v>0</v>
      </c>
    </row>
    <row r="31" spans="1:4" ht="51">
      <c r="A31" s="46" t="s">
        <v>64</v>
      </c>
      <c r="B31" s="4" t="s">
        <v>51</v>
      </c>
      <c r="C31" s="15">
        <v>276.2</v>
      </c>
      <c r="D31" s="15">
        <v>276.2</v>
      </c>
    </row>
    <row r="32" spans="1:4" ht="25.5" hidden="1">
      <c r="A32" s="46" t="s">
        <v>223</v>
      </c>
      <c r="B32" s="4" t="s">
        <v>51</v>
      </c>
      <c r="C32" s="15">
        <v>0</v>
      </c>
      <c r="D32" s="15">
        <v>0</v>
      </c>
    </row>
    <row r="33" spans="1:4" ht="22.5" customHeight="1">
      <c r="A33" s="95" t="s">
        <v>65</v>
      </c>
      <c r="B33" s="3" t="s">
        <v>50</v>
      </c>
      <c r="C33" s="14">
        <f>C34+C35</f>
        <v>141.6</v>
      </c>
      <c r="D33" s="14">
        <f>D34+D35</f>
        <v>141.6</v>
      </c>
    </row>
    <row r="34" spans="1:4" ht="25.5">
      <c r="A34" s="95"/>
      <c r="B34" s="3" t="s">
        <v>51</v>
      </c>
      <c r="C34" s="14">
        <f>C36+C37+C38+C39</f>
        <v>141.6</v>
      </c>
      <c r="D34" s="14">
        <f>D36+D37+D38+D39</f>
        <v>141.6</v>
      </c>
    </row>
    <row r="35" spans="1:4" ht="38.25">
      <c r="A35" s="95"/>
      <c r="B35" s="3" t="s">
        <v>56</v>
      </c>
      <c r="C35" s="14">
        <v>0</v>
      </c>
      <c r="D35" s="14">
        <v>0</v>
      </c>
    </row>
    <row r="36" spans="1:4" ht="25.5">
      <c r="A36" s="46" t="s">
        <v>66</v>
      </c>
      <c r="B36" s="4" t="s">
        <v>51</v>
      </c>
      <c r="C36" s="16">
        <v>12</v>
      </c>
      <c r="D36" s="16">
        <v>12</v>
      </c>
    </row>
    <row r="37" spans="1:4" ht="25.5">
      <c r="A37" s="46" t="s">
        <v>53</v>
      </c>
      <c r="B37" s="4" t="s">
        <v>51</v>
      </c>
      <c r="C37" s="16">
        <v>64</v>
      </c>
      <c r="D37" s="16">
        <v>64</v>
      </c>
    </row>
    <row r="38" spans="1:4" ht="25.5">
      <c r="A38" s="46" t="s">
        <v>67</v>
      </c>
      <c r="B38" s="4" t="s">
        <v>51</v>
      </c>
      <c r="C38" s="16">
        <v>65.6</v>
      </c>
      <c r="D38" s="16">
        <v>65.6</v>
      </c>
    </row>
    <row r="39" spans="1:4" ht="25.5" hidden="1">
      <c r="A39" s="65" t="s">
        <v>235</v>
      </c>
      <c r="B39" s="4" t="s">
        <v>51</v>
      </c>
      <c r="C39" s="16">
        <v>0</v>
      </c>
      <c r="D39" s="16">
        <v>0</v>
      </c>
    </row>
    <row r="40" spans="1:4" ht="29.25" customHeight="1" hidden="1">
      <c r="A40" s="80" t="s">
        <v>68</v>
      </c>
      <c r="B40" s="3" t="s">
        <v>50</v>
      </c>
      <c r="C40" s="17">
        <f>C41+C43</f>
        <v>0</v>
      </c>
      <c r="D40" s="14">
        <f>D41+D43</f>
        <v>0</v>
      </c>
    </row>
    <row r="41" spans="1:4" ht="26.25" customHeight="1" hidden="1">
      <c r="A41" s="81"/>
      <c r="B41" s="87" t="s">
        <v>51</v>
      </c>
      <c r="C41" s="123">
        <f>C46+C60</f>
        <v>0</v>
      </c>
      <c r="D41" s="123">
        <f>D46+D60</f>
        <v>0</v>
      </c>
    </row>
    <row r="42" spans="1:4" ht="12.75" hidden="1">
      <c r="A42" s="81"/>
      <c r="B42" s="88"/>
      <c r="C42" s="124"/>
      <c r="D42" s="124"/>
    </row>
    <row r="43" spans="1:4" ht="38.25" hidden="1">
      <c r="A43" s="81"/>
      <c r="B43" s="3" t="s">
        <v>56</v>
      </c>
      <c r="C43" s="25">
        <f>C44+C45</f>
        <v>0</v>
      </c>
      <c r="D43" s="18">
        <f>D44+D45</f>
        <v>0</v>
      </c>
    </row>
    <row r="44" spans="1:4" ht="12.75" hidden="1">
      <c r="A44" s="81"/>
      <c r="B44" s="3" t="s">
        <v>52</v>
      </c>
      <c r="C44" s="3">
        <f>C52</f>
        <v>0</v>
      </c>
      <c r="D44" s="3">
        <f>D52</f>
        <v>0</v>
      </c>
    </row>
    <row r="45" spans="1:4" ht="12.75" hidden="1">
      <c r="A45" s="82"/>
      <c r="B45" s="3" t="s">
        <v>54</v>
      </c>
      <c r="C45" s="3">
        <f>C59</f>
        <v>0</v>
      </c>
      <c r="D45" s="3">
        <f>D53+D61</f>
        <v>0</v>
      </c>
    </row>
    <row r="46" spans="1:4" ht="30" customHeight="1" hidden="1">
      <c r="A46" s="46" t="s">
        <v>69</v>
      </c>
      <c r="B46" s="4" t="s">
        <v>51</v>
      </c>
      <c r="C46" s="16">
        <v>0</v>
      </c>
      <c r="D46" s="19">
        <v>0</v>
      </c>
    </row>
    <row r="47" spans="1:6" ht="36" customHeight="1" hidden="1">
      <c r="A47" s="100" t="s">
        <v>189</v>
      </c>
      <c r="B47" s="27" t="s">
        <v>50</v>
      </c>
      <c r="C47" s="27">
        <f>C49+C48</f>
        <v>0</v>
      </c>
      <c r="D47" s="27">
        <f>D49+D48</f>
        <v>0</v>
      </c>
      <c r="E47" s="58">
        <v>4709100</v>
      </c>
      <c r="F47" s="58">
        <v>4709100</v>
      </c>
    </row>
    <row r="48" spans="1:4" ht="36" customHeight="1" hidden="1">
      <c r="A48" s="101"/>
      <c r="B48" s="27" t="s">
        <v>51</v>
      </c>
      <c r="C48" s="27">
        <f>C60+C54</f>
        <v>0</v>
      </c>
      <c r="D48" s="27">
        <f>D60+D54</f>
        <v>0</v>
      </c>
    </row>
    <row r="49" spans="1:4" ht="38.25" hidden="1">
      <c r="A49" s="101"/>
      <c r="B49" s="27" t="s">
        <v>56</v>
      </c>
      <c r="C49" s="27">
        <f>C50+C51</f>
        <v>0</v>
      </c>
      <c r="D49" s="27">
        <f>D50+D51</f>
        <v>0</v>
      </c>
    </row>
    <row r="50" spans="1:4" ht="12.75" hidden="1">
      <c r="A50" s="101"/>
      <c r="B50" s="27" t="s">
        <v>52</v>
      </c>
      <c r="C50" s="27">
        <f>C52</f>
        <v>0</v>
      </c>
      <c r="D50" s="27">
        <f>D52</f>
        <v>0</v>
      </c>
    </row>
    <row r="51" spans="1:4" ht="12.75" hidden="1">
      <c r="A51" s="102"/>
      <c r="B51" s="27" t="s">
        <v>54</v>
      </c>
      <c r="C51" s="27">
        <f>C53+C61</f>
        <v>0</v>
      </c>
      <c r="D51" s="27">
        <f>D53+D61</f>
        <v>0</v>
      </c>
    </row>
    <row r="52" spans="1:4" ht="27" customHeight="1" hidden="1">
      <c r="A52" s="113" t="s">
        <v>184</v>
      </c>
      <c r="B52" s="4" t="s">
        <v>52</v>
      </c>
      <c r="C52" s="21"/>
      <c r="D52" s="31"/>
    </row>
    <row r="53" spans="1:4" ht="21" customHeight="1" hidden="1">
      <c r="A53" s="114"/>
      <c r="B53" s="4" t="s">
        <v>54</v>
      </c>
      <c r="C53" s="21"/>
      <c r="D53" s="26"/>
    </row>
    <row r="54" spans="1:4" ht="33" customHeight="1" hidden="1">
      <c r="A54" s="115"/>
      <c r="B54" s="4" t="s">
        <v>51</v>
      </c>
      <c r="C54" s="32"/>
      <c r="D54" s="32"/>
    </row>
    <row r="55" spans="1:8" ht="18" customHeight="1" hidden="1">
      <c r="A55" s="100" t="s">
        <v>189</v>
      </c>
      <c r="B55" s="27" t="s">
        <v>50</v>
      </c>
      <c r="C55" s="43">
        <f>C56+C57</f>
        <v>0</v>
      </c>
      <c r="D55" s="43">
        <f>D56+D57</f>
        <v>0</v>
      </c>
      <c r="E55" s="60"/>
      <c r="F55" s="60"/>
      <c r="G55" s="60"/>
      <c r="H55" s="60"/>
    </row>
    <row r="56" spans="1:8" ht="27" customHeight="1" hidden="1">
      <c r="A56" s="101"/>
      <c r="B56" s="27" t="s">
        <v>51</v>
      </c>
      <c r="C56" s="43">
        <f>C60</f>
        <v>0</v>
      </c>
      <c r="D56" s="43">
        <f>D60</f>
        <v>0</v>
      </c>
      <c r="E56" s="60"/>
      <c r="F56" s="60"/>
      <c r="G56" s="60"/>
      <c r="H56" s="60"/>
    </row>
    <row r="57" spans="1:8" ht="42" customHeight="1" hidden="1">
      <c r="A57" s="101"/>
      <c r="B57" s="27" t="s">
        <v>56</v>
      </c>
      <c r="C57" s="43">
        <f>C58+C59</f>
        <v>0</v>
      </c>
      <c r="D57" s="43">
        <f>D58+D59</f>
        <v>0</v>
      </c>
      <c r="E57" s="60"/>
      <c r="F57" s="60"/>
      <c r="G57" s="60"/>
      <c r="H57" s="60"/>
    </row>
    <row r="58" spans="1:8" ht="21" customHeight="1" hidden="1">
      <c r="A58" s="101"/>
      <c r="B58" s="27" t="s">
        <v>52</v>
      </c>
      <c r="C58" s="42">
        <v>0</v>
      </c>
      <c r="D58" s="42">
        <v>0</v>
      </c>
      <c r="E58" s="60"/>
      <c r="F58" s="60"/>
      <c r="G58" s="60"/>
      <c r="H58" s="60"/>
    </row>
    <row r="59" spans="1:8" ht="20.25" customHeight="1" hidden="1">
      <c r="A59" s="102"/>
      <c r="B59" s="27" t="s">
        <v>54</v>
      </c>
      <c r="C59" s="43">
        <f>C61</f>
        <v>0</v>
      </c>
      <c r="D59" s="43">
        <f>D61</f>
        <v>0</v>
      </c>
      <c r="E59" s="60"/>
      <c r="F59" s="60"/>
      <c r="G59" s="60"/>
      <c r="H59" s="60"/>
    </row>
    <row r="60" spans="1:8" ht="26.25" customHeight="1" hidden="1">
      <c r="A60" s="113" t="s">
        <v>225</v>
      </c>
      <c r="B60" s="4" t="s">
        <v>51</v>
      </c>
      <c r="C60" s="16"/>
      <c r="D60" s="19"/>
      <c r="E60" s="60"/>
      <c r="F60" s="60"/>
      <c r="G60" s="60"/>
      <c r="H60" s="60"/>
    </row>
    <row r="61" spans="1:8" ht="39.75" customHeight="1" hidden="1">
      <c r="A61" s="115"/>
      <c r="B61" s="4" t="s">
        <v>54</v>
      </c>
      <c r="C61" s="16"/>
      <c r="D61" s="19"/>
      <c r="E61" s="60"/>
      <c r="F61" s="60"/>
      <c r="G61" s="60"/>
      <c r="H61" s="60"/>
    </row>
    <row r="62" spans="1:4" ht="25.5" customHeight="1">
      <c r="A62" s="112" t="s">
        <v>70</v>
      </c>
      <c r="B62" s="3" t="s">
        <v>50</v>
      </c>
      <c r="C62" s="14">
        <f>C63+C64</f>
        <v>3027.9</v>
      </c>
      <c r="D62" s="14">
        <f>D63+D64</f>
        <v>3027.9</v>
      </c>
    </row>
    <row r="63" spans="1:4" ht="26.25" customHeight="1">
      <c r="A63" s="112"/>
      <c r="B63" s="87" t="s">
        <v>51</v>
      </c>
      <c r="C63" s="75">
        <f>C66+C67+C68+C65</f>
        <v>3027.9</v>
      </c>
      <c r="D63" s="75">
        <f>D66+D67+D68+D65</f>
        <v>3027.9</v>
      </c>
    </row>
    <row r="64" spans="1:4" ht="12.75">
      <c r="A64" s="112"/>
      <c r="B64" s="88"/>
      <c r="C64" s="76"/>
      <c r="D64" s="76"/>
    </row>
    <row r="65" spans="1:4" ht="38.25" hidden="1">
      <c r="A65" s="46" t="s">
        <v>180</v>
      </c>
      <c r="B65" s="4" t="s">
        <v>51</v>
      </c>
      <c r="C65" s="19"/>
      <c r="D65" s="19"/>
    </row>
    <row r="66" spans="1:4" ht="38.25">
      <c r="A66" s="46" t="s">
        <v>71</v>
      </c>
      <c r="B66" s="4" t="s">
        <v>51</v>
      </c>
      <c r="C66" s="16">
        <v>2504.9</v>
      </c>
      <c r="D66" s="16">
        <v>2504.9</v>
      </c>
    </row>
    <row r="67" spans="1:4" ht="25.5">
      <c r="A67" s="46" t="s">
        <v>72</v>
      </c>
      <c r="B67" s="4" t="s">
        <v>51</v>
      </c>
      <c r="C67" s="16">
        <v>263</v>
      </c>
      <c r="D67" s="16">
        <v>263</v>
      </c>
    </row>
    <row r="68" spans="1:4" ht="25.5">
      <c r="A68" s="46" t="s">
        <v>73</v>
      </c>
      <c r="B68" s="4" t="s">
        <v>51</v>
      </c>
      <c r="C68" s="16">
        <v>260</v>
      </c>
      <c r="D68" s="16">
        <v>260</v>
      </c>
    </row>
    <row r="69" spans="1:4" ht="38.25" customHeight="1">
      <c r="A69" s="80" t="s">
        <v>74</v>
      </c>
      <c r="B69" s="3" t="s">
        <v>50</v>
      </c>
      <c r="C69" s="14">
        <f>C70+C71</f>
        <v>266971.5</v>
      </c>
      <c r="D69" s="14">
        <f>D70+D71</f>
        <v>266971.5</v>
      </c>
    </row>
    <row r="70" spans="1:4" ht="25.5">
      <c r="A70" s="81"/>
      <c r="B70" s="3" t="s">
        <v>51</v>
      </c>
      <c r="C70" s="14">
        <f>C75+C130+C155+C163</f>
        <v>94974.90000000001</v>
      </c>
      <c r="D70" s="14">
        <f>D75+D130+D155+D163</f>
        <v>94974.90000000001</v>
      </c>
    </row>
    <row r="71" spans="1:4" ht="38.25">
      <c r="A71" s="81"/>
      <c r="B71" s="3" t="s">
        <v>56</v>
      </c>
      <c r="C71" s="14">
        <f>C72+C73</f>
        <v>171996.6</v>
      </c>
      <c r="D71" s="14">
        <f>D72+D73</f>
        <v>171996.6</v>
      </c>
    </row>
    <row r="72" spans="1:4" ht="12.75">
      <c r="A72" s="81"/>
      <c r="B72" s="3" t="s">
        <v>52</v>
      </c>
      <c r="C72" s="14">
        <f>C132+C78</f>
        <v>15305.300000000001</v>
      </c>
      <c r="D72" s="14">
        <f>D132+D78</f>
        <v>15305.300000000001</v>
      </c>
    </row>
    <row r="73" spans="1:10" ht="12.75">
      <c r="A73" s="82"/>
      <c r="B73" s="3" t="s">
        <v>54</v>
      </c>
      <c r="C73" s="14">
        <f>C77+C133+C157+C165</f>
        <v>156691.30000000002</v>
      </c>
      <c r="D73" s="14">
        <f>D77+D133+D157+D165</f>
        <v>156691.30000000002</v>
      </c>
      <c r="J73" s="66"/>
    </row>
    <row r="74" spans="1:4" ht="12.75" customHeight="1">
      <c r="A74" s="77" t="s">
        <v>75</v>
      </c>
      <c r="B74" s="5" t="s">
        <v>50</v>
      </c>
      <c r="C74" s="20">
        <f>C75+C76</f>
        <v>247289.90000000002</v>
      </c>
      <c r="D74" s="20">
        <f>D75+D76</f>
        <v>247289.90000000002</v>
      </c>
    </row>
    <row r="75" spans="1:4" ht="25.5">
      <c r="A75" s="78"/>
      <c r="B75" s="5" t="s">
        <v>51</v>
      </c>
      <c r="C75" s="20">
        <f>C79+C80+C81+C82+C83+C84+C85+C86+C87+C88+C89+C90+C91+C92+C93+C94+C95+C96+C97+C98+C99+C100+C108</f>
        <v>83711.80000000002</v>
      </c>
      <c r="D75" s="20">
        <f>D79+D80+D81+D82+D83+D84+D85+D86+D87+D88+D89+D90+D91+D92+D93+D94+D95+D96+D97+D98+D99+D100+D108</f>
        <v>83711.80000000002</v>
      </c>
    </row>
    <row r="76" spans="1:4" ht="38.25">
      <c r="A76" s="78"/>
      <c r="B76" s="5" t="s">
        <v>56</v>
      </c>
      <c r="C76" s="20">
        <f>C77+C78</f>
        <v>163578.1</v>
      </c>
      <c r="D76" s="20">
        <f>D77+D78</f>
        <v>163578.1</v>
      </c>
    </row>
    <row r="77" spans="1:4" ht="12.75">
      <c r="A77" s="79"/>
      <c r="B77" s="5" t="s">
        <v>54</v>
      </c>
      <c r="C77" s="20">
        <f>C102+C103+C104+C105+C106+C107+C109+C110+C112+C126+C120</f>
        <v>148488</v>
      </c>
      <c r="D77" s="20">
        <f>D102+D103+D104+D105+D106+D107+D109+D110+D112+D126+D120</f>
        <v>148488</v>
      </c>
    </row>
    <row r="78" spans="1:10" ht="12.75">
      <c r="A78" s="47"/>
      <c r="B78" s="5" t="s">
        <v>52</v>
      </c>
      <c r="C78" s="20">
        <f>C101+C114+C111+C125</f>
        <v>15090.1</v>
      </c>
      <c r="D78" s="20">
        <f>D101+D114+D111+D125</f>
        <v>15090.1</v>
      </c>
      <c r="J78" s="66"/>
    </row>
    <row r="79" spans="1:4" ht="32.25" customHeight="1" hidden="1">
      <c r="A79" s="48" t="s">
        <v>105</v>
      </c>
      <c r="B79" s="4" t="s">
        <v>51</v>
      </c>
      <c r="C79" s="21">
        <v>0</v>
      </c>
      <c r="D79" s="16">
        <v>0</v>
      </c>
    </row>
    <row r="80" spans="1:4" ht="40.5" customHeight="1">
      <c r="A80" s="48" t="s">
        <v>76</v>
      </c>
      <c r="B80" s="4" t="s">
        <v>51</v>
      </c>
      <c r="C80" s="21">
        <v>13.6</v>
      </c>
      <c r="D80" s="16">
        <v>13.6</v>
      </c>
    </row>
    <row r="81" spans="1:4" ht="38.25" hidden="1">
      <c r="A81" s="48" t="s">
        <v>106</v>
      </c>
      <c r="B81" s="4" t="s">
        <v>51</v>
      </c>
      <c r="C81" s="21"/>
      <c r="D81" s="16">
        <v>0</v>
      </c>
    </row>
    <row r="82" spans="1:4" ht="27.75" customHeight="1">
      <c r="A82" s="48" t="s">
        <v>55</v>
      </c>
      <c r="B82" s="4" t="s">
        <v>51</v>
      </c>
      <c r="C82" s="21">
        <v>11.5</v>
      </c>
      <c r="D82" s="16">
        <v>11.5</v>
      </c>
    </row>
    <row r="83" spans="1:4" ht="27.75" customHeight="1">
      <c r="A83" s="48" t="s">
        <v>159</v>
      </c>
      <c r="B83" s="10" t="s">
        <v>51</v>
      </c>
      <c r="C83" s="21">
        <v>734.8</v>
      </c>
      <c r="D83" s="16">
        <v>734.8</v>
      </c>
    </row>
    <row r="84" spans="1:4" ht="27.75" customHeight="1" hidden="1">
      <c r="A84" s="48" t="s">
        <v>169</v>
      </c>
      <c r="B84" s="10" t="s">
        <v>51</v>
      </c>
      <c r="C84" s="21"/>
      <c r="D84" s="16">
        <v>0</v>
      </c>
    </row>
    <row r="85" spans="1:4" ht="65.25" customHeight="1">
      <c r="A85" s="40" t="s">
        <v>198</v>
      </c>
      <c r="B85" s="4" t="s">
        <v>144</v>
      </c>
      <c r="C85" s="21">
        <v>306.8</v>
      </c>
      <c r="D85" s="16">
        <v>306.8</v>
      </c>
    </row>
    <row r="86" spans="1:4" ht="27.75" customHeight="1" hidden="1">
      <c r="A86" s="48" t="s">
        <v>199</v>
      </c>
      <c r="B86" s="10" t="s">
        <v>51</v>
      </c>
      <c r="C86" s="21">
        <v>0</v>
      </c>
      <c r="D86" s="16">
        <v>0</v>
      </c>
    </row>
    <row r="87" spans="1:8" s="11" customFormat="1" ht="25.5">
      <c r="A87" s="49" t="s">
        <v>107</v>
      </c>
      <c r="B87" s="10" t="s">
        <v>51</v>
      </c>
      <c r="C87" s="26">
        <f>47758.3</f>
        <v>47758.3</v>
      </c>
      <c r="D87" s="21">
        <f>47758.3</f>
        <v>47758.3</v>
      </c>
      <c r="E87" s="60"/>
      <c r="F87" s="60"/>
      <c r="G87" s="60"/>
      <c r="H87" s="60"/>
    </row>
    <row r="88" spans="1:4" ht="38.25" hidden="1">
      <c r="A88" s="48" t="s">
        <v>171</v>
      </c>
      <c r="B88" s="4" t="s">
        <v>51</v>
      </c>
      <c r="C88" s="21">
        <v>0</v>
      </c>
      <c r="D88" s="21">
        <v>0</v>
      </c>
    </row>
    <row r="89" spans="1:4" ht="25.5" hidden="1">
      <c r="A89" s="48" t="s">
        <v>170</v>
      </c>
      <c r="B89" s="4" t="s">
        <v>51</v>
      </c>
      <c r="C89" s="21">
        <v>0</v>
      </c>
      <c r="D89" s="16">
        <v>0</v>
      </c>
    </row>
    <row r="90" spans="1:4" ht="33" customHeight="1">
      <c r="A90" s="48" t="s">
        <v>108</v>
      </c>
      <c r="B90" s="4" t="s">
        <v>51</v>
      </c>
      <c r="C90" s="21">
        <v>7053.4</v>
      </c>
      <c r="D90" s="16">
        <v>7053.4</v>
      </c>
    </row>
    <row r="91" spans="1:4" ht="27.75" customHeight="1">
      <c r="A91" s="48" t="s">
        <v>77</v>
      </c>
      <c r="B91" s="4" t="s">
        <v>51</v>
      </c>
      <c r="C91" s="21">
        <v>6147.6</v>
      </c>
      <c r="D91" s="21">
        <v>6147.6</v>
      </c>
    </row>
    <row r="92" spans="1:4" ht="57" customHeight="1">
      <c r="A92" s="48" t="s">
        <v>109</v>
      </c>
      <c r="B92" s="4" t="s">
        <v>51</v>
      </c>
      <c r="C92" s="21">
        <v>2481.2</v>
      </c>
      <c r="D92" s="16">
        <v>2481.2</v>
      </c>
    </row>
    <row r="93" spans="1:4" ht="51.75" customHeight="1">
      <c r="A93" s="48" t="s">
        <v>160</v>
      </c>
      <c r="B93" s="4" t="s">
        <v>51</v>
      </c>
      <c r="C93" s="21">
        <v>3</v>
      </c>
      <c r="D93" s="16">
        <v>3</v>
      </c>
    </row>
    <row r="94" spans="1:4" ht="25.5">
      <c r="A94" s="48" t="s">
        <v>103</v>
      </c>
      <c r="B94" s="4" t="s">
        <v>51</v>
      </c>
      <c r="C94" s="21">
        <v>17483.4</v>
      </c>
      <c r="D94" s="16">
        <v>17483.4</v>
      </c>
    </row>
    <row r="95" spans="1:4" ht="40.5" customHeight="1">
      <c r="A95" s="48" t="s">
        <v>110</v>
      </c>
      <c r="B95" s="4" t="s">
        <v>51</v>
      </c>
      <c r="C95" s="21">
        <v>35.6</v>
      </c>
      <c r="D95" s="16">
        <v>35.6</v>
      </c>
    </row>
    <row r="96" spans="1:4" ht="40.5" customHeight="1" hidden="1">
      <c r="A96" s="48" t="s">
        <v>167</v>
      </c>
      <c r="B96" s="4" t="s">
        <v>51</v>
      </c>
      <c r="C96" s="21">
        <v>0</v>
      </c>
      <c r="D96" s="16">
        <v>0</v>
      </c>
    </row>
    <row r="97" spans="1:5" ht="40.5" customHeight="1" hidden="1">
      <c r="A97" s="48" t="s">
        <v>226</v>
      </c>
      <c r="B97" s="4" t="s">
        <v>51</v>
      </c>
      <c r="C97" s="21"/>
      <c r="D97" s="16"/>
      <c r="E97" s="60"/>
    </row>
    <row r="98" spans="1:4" ht="40.5" customHeight="1">
      <c r="A98" s="48" t="s">
        <v>229</v>
      </c>
      <c r="B98" s="4" t="s">
        <v>51</v>
      </c>
      <c r="C98" s="21">
        <v>6</v>
      </c>
      <c r="D98" s="16">
        <v>6</v>
      </c>
    </row>
    <row r="99" spans="1:4" ht="25.5">
      <c r="A99" s="48" t="s">
        <v>104</v>
      </c>
      <c r="B99" s="4" t="s">
        <v>51</v>
      </c>
      <c r="C99" s="21">
        <v>42.8</v>
      </c>
      <c r="D99" s="16">
        <v>42.8</v>
      </c>
    </row>
    <row r="100" spans="1:4" ht="25.5">
      <c r="A100" s="48" t="s">
        <v>181</v>
      </c>
      <c r="B100" s="4" t="s">
        <v>51</v>
      </c>
      <c r="C100" s="21">
        <v>1614.8</v>
      </c>
      <c r="D100" s="16">
        <v>1614.8</v>
      </c>
    </row>
    <row r="101" spans="1:10" ht="51">
      <c r="A101" s="48" t="s">
        <v>200</v>
      </c>
      <c r="B101" s="4" t="s">
        <v>52</v>
      </c>
      <c r="C101" s="21">
        <v>8567.5</v>
      </c>
      <c r="D101" s="21">
        <v>8567.5</v>
      </c>
      <c r="E101" s="58">
        <v>8632300</v>
      </c>
      <c r="F101" s="58">
        <v>8462262.56</v>
      </c>
      <c r="J101" s="66"/>
    </row>
    <row r="102" spans="1:4" ht="41.25" customHeight="1" hidden="1">
      <c r="A102" s="48" t="s">
        <v>182</v>
      </c>
      <c r="B102" s="4" t="s">
        <v>54</v>
      </c>
      <c r="C102" s="21"/>
      <c r="D102" s="16"/>
    </row>
    <row r="103" spans="1:4" ht="68.25" customHeight="1">
      <c r="A103" s="48" t="s">
        <v>111</v>
      </c>
      <c r="B103" s="4" t="s">
        <v>54</v>
      </c>
      <c r="C103" s="21">
        <f>52811.6</f>
        <v>52811.6</v>
      </c>
      <c r="D103" s="16">
        <v>52811.6</v>
      </c>
    </row>
    <row r="104" spans="1:4" ht="38.25">
      <c r="A104" s="48" t="s">
        <v>89</v>
      </c>
      <c r="B104" s="4" t="s">
        <v>54</v>
      </c>
      <c r="C104" s="21">
        <v>10785</v>
      </c>
      <c r="D104" s="16">
        <v>10785</v>
      </c>
    </row>
    <row r="105" spans="1:4" ht="76.5">
      <c r="A105" s="48" t="s">
        <v>112</v>
      </c>
      <c r="B105" s="4" t="s">
        <v>54</v>
      </c>
      <c r="C105" s="21">
        <v>71080.1</v>
      </c>
      <c r="D105" s="16">
        <v>71080.1</v>
      </c>
    </row>
    <row r="106" spans="1:4" ht="38.25">
      <c r="A106" s="48" t="s">
        <v>113</v>
      </c>
      <c r="B106" s="4" t="s">
        <v>54</v>
      </c>
      <c r="C106" s="21">
        <v>12418</v>
      </c>
      <c r="D106" s="16">
        <v>12418</v>
      </c>
    </row>
    <row r="107" spans="1:4" ht="28.5" customHeight="1">
      <c r="A107" s="73" t="s">
        <v>114</v>
      </c>
      <c r="B107" s="4" t="s">
        <v>54</v>
      </c>
      <c r="C107" s="21">
        <v>57.3</v>
      </c>
      <c r="D107" s="21">
        <v>57.3</v>
      </c>
    </row>
    <row r="108" spans="1:4" ht="25.5">
      <c r="A108" s="74"/>
      <c r="B108" s="4" t="s">
        <v>51</v>
      </c>
      <c r="C108" s="21">
        <v>19</v>
      </c>
      <c r="D108" s="21">
        <v>19</v>
      </c>
    </row>
    <row r="109" spans="1:4" ht="28.5" customHeight="1" hidden="1">
      <c r="A109" s="48" t="s">
        <v>34</v>
      </c>
      <c r="B109" s="4" t="s">
        <v>54</v>
      </c>
      <c r="C109" s="21">
        <v>0</v>
      </c>
      <c r="D109" s="16">
        <v>0</v>
      </c>
    </row>
    <row r="110" spans="1:4" ht="30" customHeight="1" hidden="1">
      <c r="A110" s="48" t="s">
        <v>172</v>
      </c>
      <c r="B110" s="4" t="s">
        <v>54</v>
      </c>
      <c r="C110" s="21">
        <v>0</v>
      </c>
      <c r="D110" s="16">
        <v>0</v>
      </c>
    </row>
    <row r="111" spans="1:12" ht="39" customHeight="1">
      <c r="A111" s="73" t="s">
        <v>228</v>
      </c>
      <c r="B111" s="4" t="s">
        <v>52</v>
      </c>
      <c r="C111" s="21">
        <v>6522.6</v>
      </c>
      <c r="D111" s="21">
        <v>6522.6</v>
      </c>
      <c r="E111" s="64">
        <v>9664354</v>
      </c>
      <c r="F111" s="64">
        <v>7616161.36</v>
      </c>
      <c r="G111" s="64"/>
      <c r="H111" s="64"/>
      <c r="I111" s="57"/>
      <c r="J111" s="67"/>
      <c r="K111" s="57"/>
      <c r="L111" s="57"/>
    </row>
    <row r="112" spans="1:12" ht="42" customHeight="1">
      <c r="A112" s="74"/>
      <c r="B112" s="4" t="s">
        <v>54</v>
      </c>
      <c r="C112" s="21">
        <v>1336</v>
      </c>
      <c r="D112" s="21">
        <v>1336</v>
      </c>
      <c r="E112" s="61"/>
      <c r="F112" s="61"/>
      <c r="G112" s="61"/>
      <c r="H112" s="61"/>
      <c r="I112" s="57"/>
      <c r="J112" s="57"/>
      <c r="K112" s="57"/>
      <c r="L112" s="57"/>
    </row>
    <row r="113" spans="1:4" ht="35.25" customHeight="1" hidden="1">
      <c r="A113" s="48" t="s">
        <v>201</v>
      </c>
      <c r="B113" s="4" t="s">
        <v>54</v>
      </c>
      <c r="C113" s="21"/>
      <c r="D113" s="16"/>
    </row>
    <row r="114" spans="1:8" ht="40.5" customHeight="1" hidden="1">
      <c r="A114" s="73" t="s">
        <v>202</v>
      </c>
      <c r="B114" s="4" t="s">
        <v>52</v>
      </c>
      <c r="C114" s="21"/>
      <c r="D114" s="16"/>
      <c r="E114" s="62"/>
      <c r="F114" s="62"/>
      <c r="G114" s="62"/>
      <c r="H114" s="62"/>
    </row>
    <row r="115" spans="1:4" ht="40.5" customHeight="1" hidden="1">
      <c r="A115" s="74"/>
      <c r="B115" s="4" t="s">
        <v>54</v>
      </c>
      <c r="C115" s="21"/>
      <c r="D115" s="16"/>
    </row>
    <row r="116" spans="1:4" ht="42.75" customHeight="1" hidden="1">
      <c r="A116" s="48" t="s">
        <v>182</v>
      </c>
      <c r="B116" s="4" t="s">
        <v>144</v>
      </c>
      <c r="C116" s="21"/>
      <c r="D116" s="16"/>
    </row>
    <row r="117" spans="1:8" s="11" customFormat="1" ht="21" customHeight="1" hidden="1">
      <c r="A117" s="92" t="s">
        <v>185</v>
      </c>
      <c r="B117" s="10" t="s">
        <v>54</v>
      </c>
      <c r="C117" s="21"/>
      <c r="D117" s="21"/>
      <c r="E117" s="60"/>
      <c r="F117" s="60"/>
      <c r="G117" s="60"/>
      <c r="H117" s="60"/>
    </row>
    <row r="118" spans="1:4" ht="27" customHeight="1" hidden="1">
      <c r="A118" s="96"/>
      <c r="B118" s="4" t="s">
        <v>144</v>
      </c>
      <c r="C118" s="21"/>
      <c r="D118" s="16"/>
    </row>
    <row r="119" spans="1:4" ht="42.75" customHeight="1" hidden="1">
      <c r="A119" s="40" t="s">
        <v>227</v>
      </c>
      <c r="B119" s="10" t="s">
        <v>54</v>
      </c>
      <c r="C119" s="21"/>
      <c r="D119" s="16"/>
    </row>
    <row r="120" spans="1:4" ht="51" customHeight="1" hidden="1">
      <c r="A120" s="40" t="s">
        <v>89</v>
      </c>
      <c r="B120" s="10" t="s">
        <v>54</v>
      </c>
      <c r="C120" s="21">
        <v>0</v>
      </c>
      <c r="D120" s="16">
        <v>0</v>
      </c>
    </row>
    <row r="121" spans="1:4" ht="51" customHeight="1" hidden="1">
      <c r="A121" s="108" t="s">
        <v>262</v>
      </c>
      <c r="B121" s="10" t="s">
        <v>54</v>
      </c>
      <c r="C121" s="21"/>
      <c r="D121" s="16"/>
    </row>
    <row r="122" spans="1:4" ht="51" customHeight="1" hidden="1">
      <c r="A122" s="110"/>
      <c r="B122" s="10" t="s">
        <v>263</v>
      </c>
      <c r="C122" s="21"/>
      <c r="D122" s="16"/>
    </row>
    <row r="123" spans="1:6" ht="12.75" hidden="1">
      <c r="A123" s="100" t="s">
        <v>237</v>
      </c>
      <c r="B123" s="27" t="s">
        <v>50</v>
      </c>
      <c r="C123" s="33">
        <f>C124</f>
        <v>0</v>
      </c>
      <c r="D123" s="33">
        <f>D124</f>
        <v>0</v>
      </c>
      <c r="E123" s="58">
        <v>3660000</v>
      </c>
      <c r="F123" s="58">
        <v>3268043.4</v>
      </c>
    </row>
    <row r="124" spans="1:4" ht="38.25" hidden="1">
      <c r="A124" s="101"/>
      <c r="B124" s="27" t="s">
        <v>56</v>
      </c>
      <c r="C124" s="34">
        <f>C125+C126</f>
        <v>0</v>
      </c>
      <c r="D124" s="34">
        <f>D125+D126</f>
        <v>0</v>
      </c>
    </row>
    <row r="125" spans="1:4" ht="12.75" hidden="1">
      <c r="A125" s="101"/>
      <c r="B125" s="27" t="s">
        <v>52</v>
      </c>
      <c r="C125" s="34">
        <f>C127</f>
        <v>0</v>
      </c>
      <c r="D125" s="34">
        <f>D127</f>
        <v>0</v>
      </c>
    </row>
    <row r="126" spans="1:4" ht="12.75" hidden="1">
      <c r="A126" s="102"/>
      <c r="B126" s="27" t="s">
        <v>54</v>
      </c>
      <c r="C126" s="34">
        <f>C128</f>
        <v>0</v>
      </c>
      <c r="D126" s="34">
        <f>D128</f>
        <v>0</v>
      </c>
    </row>
    <row r="127" spans="1:8" s="11" customFormat="1" ht="50.25" customHeight="1" hidden="1">
      <c r="A127" s="92" t="s">
        <v>236</v>
      </c>
      <c r="B127" s="10" t="s">
        <v>52</v>
      </c>
      <c r="C127" s="21">
        <v>0</v>
      </c>
      <c r="D127" s="21"/>
      <c r="E127" s="60"/>
      <c r="F127" s="60"/>
      <c r="G127" s="60"/>
      <c r="H127" s="60"/>
    </row>
    <row r="128" spans="1:8" s="11" customFormat="1" ht="50.25" customHeight="1" hidden="1">
      <c r="A128" s="96"/>
      <c r="B128" s="10" t="s">
        <v>54</v>
      </c>
      <c r="C128" s="21">
        <v>0</v>
      </c>
      <c r="D128" s="21"/>
      <c r="E128" s="60"/>
      <c r="F128" s="60"/>
      <c r="G128" s="60"/>
      <c r="H128" s="60"/>
    </row>
    <row r="129" spans="1:4" ht="12.75" customHeight="1">
      <c r="A129" s="77" t="s">
        <v>30</v>
      </c>
      <c r="B129" s="5" t="s">
        <v>50</v>
      </c>
      <c r="C129" s="20">
        <f>C130+C131</f>
        <v>8052.299999999999</v>
      </c>
      <c r="D129" s="20">
        <f>D130+D131</f>
        <v>8052.299999999999</v>
      </c>
    </row>
    <row r="130" spans="1:4" ht="25.5">
      <c r="A130" s="78"/>
      <c r="B130" s="5" t="s">
        <v>51</v>
      </c>
      <c r="C130" s="20">
        <f>C134+C135+C136+C137+C149+C138</f>
        <v>409.9</v>
      </c>
      <c r="D130" s="20">
        <f>D134+D135+D136+D137+D149+D138-D149</f>
        <v>409.9</v>
      </c>
    </row>
    <row r="131" spans="1:4" ht="38.25">
      <c r="A131" s="78"/>
      <c r="B131" s="5" t="s">
        <v>56</v>
      </c>
      <c r="C131" s="20">
        <f>C132+C133</f>
        <v>7642.4</v>
      </c>
      <c r="D131" s="20">
        <f>D132+D133</f>
        <v>7642.4</v>
      </c>
    </row>
    <row r="132" spans="1:6" ht="12.75">
      <c r="A132" s="78"/>
      <c r="B132" s="5" t="s">
        <v>52</v>
      </c>
      <c r="C132" s="20">
        <f>C139</f>
        <v>215.2</v>
      </c>
      <c r="D132" s="20">
        <f>D139</f>
        <v>215.2</v>
      </c>
      <c r="E132" s="58">
        <v>3049035</v>
      </c>
      <c r="F132" s="58">
        <v>349035</v>
      </c>
    </row>
    <row r="133" spans="1:4" ht="12.75">
      <c r="A133" s="79"/>
      <c r="B133" s="5" t="s">
        <v>54</v>
      </c>
      <c r="C133" s="20">
        <f>C140+C141+C142+C143+C144+C145+C146+C148+C152+C147</f>
        <v>7427.2</v>
      </c>
      <c r="D133" s="20">
        <f>D140+D141+D142+D143+D144+D145+D146+D148+D152+D147</f>
        <v>7427.2</v>
      </c>
    </row>
    <row r="134" spans="1:4" ht="25.5" hidden="1">
      <c r="A134" s="48" t="s">
        <v>115</v>
      </c>
      <c r="B134" s="4" t="s">
        <v>51</v>
      </c>
      <c r="C134" s="16"/>
      <c r="D134" s="16"/>
    </row>
    <row r="135" spans="1:9" ht="38.25">
      <c r="A135" s="48" t="s">
        <v>95</v>
      </c>
      <c r="B135" s="4" t="s">
        <v>51</v>
      </c>
      <c r="C135" s="16">
        <v>94</v>
      </c>
      <c r="D135" s="16">
        <v>94</v>
      </c>
      <c r="I135" s="11">
        <v>155450</v>
      </c>
    </row>
    <row r="136" spans="1:4" ht="51">
      <c r="A136" s="48" t="s">
        <v>116</v>
      </c>
      <c r="B136" s="4" t="s">
        <v>51</v>
      </c>
      <c r="C136" s="21">
        <v>158.6</v>
      </c>
      <c r="D136" s="21">
        <v>158.6</v>
      </c>
    </row>
    <row r="137" spans="1:4" ht="51">
      <c r="A137" s="48" t="s">
        <v>117</v>
      </c>
      <c r="B137" s="4" t="s">
        <v>51</v>
      </c>
      <c r="C137" s="16">
        <v>157.3</v>
      </c>
      <c r="D137" s="16">
        <v>157.3</v>
      </c>
    </row>
    <row r="138" spans="1:4" ht="54" customHeight="1" hidden="1">
      <c r="A138" s="48" t="s">
        <v>161</v>
      </c>
      <c r="B138" s="4" t="s">
        <v>51</v>
      </c>
      <c r="C138" s="16">
        <v>0</v>
      </c>
      <c r="D138" s="16">
        <v>0</v>
      </c>
    </row>
    <row r="139" spans="1:4" ht="38.25">
      <c r="A139" s="49" t="s">
        <v>31</v>
      </c>
      <c r="B139" s="10" t="s">
        <v>52</v>
      </c>
      <c r="C139" s="21">
        <v>215.2</v>
      </c>
      <c r="D139" s="21">
        <v>215.2</v>
      </c>
    </row>
    <row r="140" spans="1:4" ht="51">
      <c r="A140" s="48" t="s">
        <v>32</v>
      </c>
      <c r="B140" s="4" t="s">
        <v>54</v>
      </c>
      <c r="C140" s="16">
        <v>357.4</v>
      </c>
      <c r="D140" s="16">
        <v>357.4</v>
      </c>
    </row>
    <row r="141" spans="1:4" ht="25.5" hidden="1">
      <c r="A141" s="48" t="s">
        <v>33</v>
      </c>
      <c r="B141" s="4" t="s">
        <v>54</v>
      </c>
      <c r="C141" s="16"/>
      <c r="D141" s="16"/>
    </row>
    <row r="142" spans="1:4" ht="39.75" customHeight="1">
      <c r="A142" s="48" t="s">
        <v>119</v>
      </c>
      <c r="B142" s="4" t="s">
        <v>54</v>
      </c>
      <c r="C142" s="16">
        <v>70.2</v>
      </c>
      <c r="D142" s="16">
        <v>70.2</v>
      </c>
    </row>
    <row r="143" spans="1:4" ht="51" hidden="1">
      <c r="A143" s="48" t="s">
        <v>120</v>
      </c>
      <c r="B143" s="4" t="s">
        <v>54</v>
      </c>
      <c r="C143" s="16">
        <v>0</v>
      </c>
      <c r="D143" s="16">
        <v>0</v>
      </c>
    </row>
    <row r="144" spans="1:4" ht="25.5">
      <c r="A144" s="48" t="s">
        <v>96</v>
      </c>
      <c r="B144" s="4" t="s">
        <v>54</v>
      </c>
      <c r="C144" s="16">
        <v>440</v>
      </c>
      <c r="D144" s="16">
        <v>440</v>
      </c>
    </row>
    <row r="145" spans="1:4" ht="38.25">
      <c r="A145" s="48" t="s">
        <v>121</v>
      </c>
      <c r="B145" s="4" t="s">
        <v>54</v>
      </c>
      <c r="C145" s="16">
        <v>84.7</v>
      </c>
      <c r="D145" s="16">
        <v>84.7</v>
      </c>
    </row>
    <row r="146" spans="1:4" ht="87.75" customHeight="1" hidden="1">
      <c r="A146" s="48" t="s">
        <v>122</v>
      </c>
      <c r="B146" s="4" t="s">
        <v>54</v>
      </c>
      <c r="C146" s="16"/>
      <c r="D146" s="16"/>
    </row>
    <row r="147" spans="1:4" ht="141.75" customHeight="1">
      <c r="A147" s="48" t="s">
        <v>203</v>
      </c>
      <c r="B147" s="4" t="s">
        <v>54</v>
      </c>
      <c r="C147" s="16">
        <v>5771.5</v>
      </c>
      <c r="D147" s="16">
        <v>5771.5</v>
      </c>
    </row>
    <row r="148" spans="1:4" ht="111.75" customHeight="1" hidden="1">
      <c r="A148" s="48" t="s">
        <v>204</v>
      </c>
      <c r="B148" s="4" t="s">
        <v>54</v>
      </c>
      <c r="C148" s="39"/>
      <c r="D148" s="16"/>
    </row>
    <row r="149" spans="1:4" ht="25.5" hidden="1">
      <c r="A149" s="48" t="s">
        <v>33</v>
      </c>
      <c r="B149" s="4" t="s">
        <v>51</v>
      </c>
      <c r="C149" s="21"/>
      <c r="D149" s="16"/>
    </row>
    <row r="150" spans="1:6" ht="12.75">
      <c r="A150" s="100" t="s">
        <v>190</v>
      </c>
      <c r="B150" s="27" t="s">
        <v>50</v>
      </c>
      <c r="C150" s="33">
        <f aca="true" t="shared" si="1" ref="C150:D152">C151</f>
        <v>703.4</v>
      </c>
      <c r="D150" s="33">
        <f t="shared" si="1"/>
        <v>703.4</v>
      </c>
      <c r="E150" s="58">
        <v>3660000</v>
      </c>
      <c r="F150" s="58">
        <v>3268043.4</v>
      </c>
    </row>
    <row r="151" spans="1:4" ht="38.25">
      <c r="A151" s="101"/>
      <c r="B151" s="27" t="s">
        <v>56</v>
      </c>
      <c r="C151" s="34">
        <f t="shared" si="1"/>
        <v>703.4</v>
      </c>
      <c r="D151" s="34">
        <f t="shared" si="1"/>
        <v>703.4</v>
      </c>
    </row>
    <row r="152" spans="1:4" ht="12.75">
      <c r="A152" s="102"/>
      <c r="B152" s="27" t="s">
        <v>54</v>
      </c>
      <c r="C152" s="34">
        <f t="shared" si="1"/>
        <v>703.4</v>
      </c>
      <c r="D152" s="34">
        <f t="shared" si="1"/>
        <v>703.4</v>
      </c>
    </row>
    <row r="153" spans="1:9" s="11" customFormat="1" ht="63.75">
      <c r="A153" s="49" t="s">
        <v>118</v>
      </c>
      <c r="B153" s="10" t="s">
        <v>54</v>
      </c>
      <c r="C153" s="21">
        <v>703.4</v>
      </c>
      <c r="D153" s="21">
        <v>703.4</v>
      </c>
      <c r="E153" s="60"/>
      <c r="F153" s="60"/>
      <c r="G153" s="60"/>
      <c r="H153" s="60"/>
      <c r="I153" s="11">
        <v>1157.15</v>
      </c>
    </row>
    <row r="154" spans="1:4" ht="33.75" customHeight="1" hidden="1">
      <c r="A154" s="77" t="s">
        <v>37</v>
      </c>
      <c r="B154" s="5" t="s">
        <v>50</v>
      </c>
      <c r="C154" s="20">
        <f>C155+C156</f>
        <v>0</v>
      </c>
      <c r="D154" s="20">
        <f>D155+D156</f>
        <v>0</v>
      </c>
    </row>
    <row r="155" spans="1:4" ht="25.5" hidden="1">
      <c r="A155" s="78"/>
      <c r="B155" s="5" t="s">
        <v>51</v>
      </c>
      <c r="C155" s="20">
        <f>C159+C160+C161</f>
        <v>0</v>
      </c>
      <c r="D155" s="20">
        <f>D159+D160+D161</f>
        <v>0</v>
      </c>
    </row>
    <row r="156" spans="1:4" ht="38.25" hidden="1">
      <c r="A156" s="78"/>
      <c r="B156" s="5" t="s">
        <v>56</v>
      </c>
      <c r="C156" s="20">
        <f>C157</f>
        <v>0</v>
      </c>
      <c r="D156" s="20">
        <f>D157</f>
        <v>0</v>
      </c>
    </row>
    <row r="157" spans="1:4" ht="12.75" hidden="1">
      <c r="A157" s="79"/>
      <c r="B157" s="5" t="s">
        <v>54</v>
      </c>
      <c r="C157" s="20">
        <f>C158</f>
        <v>0</v>
      </c>
      <c r="D157" s="20">
        <f>D158</f>
        <v>0</v>
      </c>
    </row>
    <row r="158" spans="1:4" ht="25.5" hidden="1">
      <c r="A158" s="48" t="s">
        <v>34</v>
      </c>
      <c r="B158" s="4" t="s">
        <v>54</v>
      </c>
      <c r="C158" s="16">
        <v>0</v>
      </c>
      <c r="D158" s="16">
        <v>0</v>
      </c>
    </row>
    <row r="159" spans="1:4" ht="25.5" hidden="1">
      <c r="A159" s="48" t="s">
        <v>123</v>
      </c>
      <c r="B159" s="4" t="s">
        <v>144</v>
      </c>
      <c r="C159" s="16">
        <v>0</v>
      </c>
      <c r="D159" s="16">
        <v>0</v>
      </c>
    </row>
    <row r="160" spans="1:4" ht="25.5" hidden="1">
      <c r="A160" s="40" t="s">
        <v>145</v>
      </c>
      <c r="B160" s="4" t="s">
        <v>144</v>
      </c>
      <c r="C160" s="16">
        <v>0</v>
      </c>
      <c r="D160" s="16">
        <v>0</v>
      </c>
    </row>
    <row r="161" spans="1:4" ht="38.25" hidden="1">
      <c r="A161" s="48" t="s">
        <v>162</v>
      </c>
      <c r="B161" s="4" t="s">
        <v>144</v>
      </c>
      <c r="C161" s="16">
        <v>0</v>
      </c>
      <c r="D161" s="16">
        <v>0</v>
      </c>
    </row>
    <row r="162" spans="1:4" ht="33.75" customHeight="1">
      <c r="A162" s="77" t="s">
        <v>36</v>
      </c>
      <c r="B162" s="5" t="s">
        <v>50</v>
      </c>
      <c r="C162" s="20">
        <f>C163+C164</f>
        <v>11629.300000000001</v>
      </c>
      <c r="D162" s="20">
        <f>D163+D164</f>
        <v>11629.300000000001</v>
      </c>
    </row>
    <row r="163" spans="1:4" ht="25.5">
      <c r="A163" s="78"/>
      <c r="B163" s="5" t="s">
        <v>51</v>
      </c>
      <c r="C163" s="20">
        <f>C166</f>
        <v>10853.2</v>
      </c>
      <c r="D163" s="20">
        <f>D166</f>
        <v>10853.2</v>
      </c>
    </row>
    <row r="164" spans="1:4" ht="38.25">
      <c r="A164" s="78"/>
      <c r="B164" s="5" t="s">
        <v>56</v>
      </c>
      <c r="C164" s="20">
        <f>C165</f>
        <v>776.1</v>
      </c>
      <c r="D164" s="20">
        <f>D165</f>
        <v>776.1</v>
      </c>
    </row>
    <row r="165" spans="1:4" ht="12.75">
      <c r="A165" s="79"/>
      <c r="B165" s="5" t="s">
        <v>54</v>
      </c>
      <c r="C165" s="20">
        <f>C167</f>
        <v>776.1</v>
      </c>
      <c r="D165" s="20">
        <f>D167</f>
        <v>776.1</v>
      </c>
    </row>
    <row r="166" spans="1:4" ht="25.5">
      <c r="A166" s="48" t="s">
        <v>35</v>
      </c>
      <c r="B166" s="4" t="s">
        <v>51</v>
      </c>
      <c r="C166" s="16">
        <v>10853.2</v>
      </c>
      <c r="D166" s="16">
        <v>10853.2</v>
      </c>
    </row>
    <row r="167" spans="1:8" s="11" customFormat="1" ht="133.5" customHeight="1">
      <c r="A167" s="49" t="s">
        <v>173</v>
      </c>
      <c r="B167" s="10" t="s">
        <v>54</v>
      </c>
      <c r="C167" s="21">
        <v>776.1</v>
      </c>
      <c r="D167" s="21">
        <v>776.1</v>
      </c>
      <c r="E167" s="60"/>
      <c r="F167" s="60"/>
      <c r="G167" s="60"/>
      <c r="H167" s="60"/>
    </row>
    <row r="168" spans="1:4" ht="38.25" customHeight="1">
      <c r="A168" s="105" t="s">
        <v>38</v>
      </c>
      <c r="B168" s="3" t="s">
        <v>50</v>
      </c>
      <c r="C168" s="14">
        <f>C169+C170</f>
        <v>56289.799999999996</v>
      </c>
      <c r="D168" s="14">
        <f>D169+D170</f>
        <v>56289.799999999996</v>
      </c>
    </row>
    <row r="169" spans="1:4" ht="25.5">
      <c r="A169" s="106"/>
      <c r="B169" s="3" t="s">
        <v>51</v>
      </c>
      <c r="C169" s="14">
        <f>C173+C175+C178+C180+C181+C182+C183+C184+C176+C177+C179+C189+C192+C186+C194+C174</f>
        <v>55428.1</v>
      </c>
      <c r="D169" s="14">
        <f>D173+D175+D178+D180+D181+D182+D183+D184+D176+D177+D179+D189+D192+D186+D194</f>
        <v>55428.1</v>
      </c>
    </row>
    <row r="170" spans="1:4" ht="38.25">
      <c r="A170" s="106"/>
      <c r="B170" s="3" t="s">
        <v>56</v>
      </c>
      <c r="C170" s="14">
        <f>C171+C172</f>
        <v>861.7</v>
      </c>
      <c r="D170" s="14">
        <f>D171+D172</f>
        <v>861.7</v>
      </c>
    </row>
    <row r="171" spans="1:4" ht="12.75">
      <c r="A171" s="106"/>
      <c r="B171" s="3" t="s">
        <v>54</v>
      </c>
      <c r="C171" s="14">
        <f>C185+C187+C188+C191+C193</f>
        <v>861.7</v>
      </c>
      <c r="D171" s="14">
        <f>D185+D187+D188+D191+D193</f>
        <v>861.7</v>
      </c>
    </row>
    <row r="172" spans="1:4" ht="12.75">
      <c r="A172" s="107"/>
      <c r="B172" s="3" t="s">
        <v>52</v>
      </c>
      <c r="C172" s="14">
        <f>C190</f>
        <v>0</v>
      </c>
      <c r="D172" s="14">
        <f>D190</f>
        <v>0</v>
      </c>
    </row>
    <row r="173" spans="1:4" ht="25.5">
      <c r="A173" s="48" t="s">
        <v>124</v>
      </c>
      <c r="B173" s="4" t="s">
        <v>51</v>
      </c>
      <c r="C173" s="16">
        <v>311.4</v>
      </c>
      <c r="D173" s="22">
        <v>311.4</v>
      </c>
    </row>
    <row r="174" spans="1:4" ht="25.5" hidden="1">
      <c r="A174" s="48" t="s">
        <v>255</v>
      </c>
      <c r="B174" s="4" t="s">
        <v>51</v>
      </c>
      <c r="C174" s="16"/>
      <c r="D174" s="22"/>
    </row>
    <row r="175" spans="1:4" ht="51" hidden="1">
      <c r="A175" s="48" t="s">
        <v>125</v>
      </c>
      <c r="B175" s="4" t="s">
        <v>51</v>
      </c>
      <c r="C175" s="16"/>
      <c r="D175" s="22"/>
    </row>
    <row r="176" spans="1:4" ht="36" customHeight="1" hidden="1">
      <c r="A176" s="48" t="s">
        <v>163</v>
      </c>
      <c r="B176" s="4" t="s">
        <v>51</v>
      </c>
      <c r="C176" s="16"/>
      <c r="D176" s="22"/>
    </row>
    <row r="177" spans="1:4" ht="36" customHeight="1" hidden="1">
      <c r="A177" s="48" t="s">
        <v>164</v>
      </c>
      <c r="B177" s="4" t="s">
        <v>51</v>
      </c>
      <c r="C177" s="16"/>
      <c r="D177" s="22"/>
    </row>
    <row r="178" spans="1:4" ht="25.5">
      <c r="A178" s="48" t="s">
        <v>126</v>
      </c>
      <c r="B178" s="4" t="s">
        <v>51</v>
      </c>
      <c r="C178" s="16">
        <v>6.4</v>
      </c>
      <c r="D178" s="22">
        <v>6.4</v>
      </c>
    </row>
    <row r="179" spans="1:4" ht="25.5">
      <c r="A179" s="48" t="s">
        <v>168</v>
      </c>
      <c r="B179" s="4" t="s">
        <v>51</v>
      </c>
      <c r="C179" s="16">
        <v>3922.6</v>
      </c>
      <c r="D179" s="22">
        <v>3922.6</v>
      </c>
    </row>
    <row r="180" spans="1:4" ht="25.5">
      <c r="A180" s="48" t="s">
        <v>103</v>
      </c>
      <c r="B180" s="4" t="s">
        <v>51</v>
      </c>
      <c r="C180" s="16">
        <v>25251</v>
      </c>
      <c r="D180" s="22">
        <v>25251</v>
      </c>
    </row>
    <row r="181" spans="1:4" ht="25.5">
      <c r="A181" s="48" t="s">
        <v>256</v>
      </c>
      <c r="B181" s="4" t="s">
        <v>51</v>
      </c>
      <c r="C181" s="16">
        <v>15968.1</v>
      </c>
      <c r="D181" s="22">
        <v>15968.1</v>
      </c>
    </row>
    <row r="182" spans="1:4" ht="25.5">
      <c r="A182" s="48" t="s">
        <v>127</v>
      </c>
      <c r="B182" s="4" t="s">
        <v>51</v>
      </c>
      <c r="C182" s="16">
        <v>1212.4</v>
      </c>
      <c r="D182" s="22">
        <v>1212.4</v>
      </c>
    </row>
    <row r="183" spans="1:4" ht="25.5">
      <c r="A183" s="48" t="s">
        <v>128</v>
      </c>
      <c r="B183" s="4" t="s">
        <v>51</v>
      </c>
      <c r="C183" s="16">
        <v>4573</v>
      </c>
      <c r="D183" s="22">
        <v>4573</v>
      </c>
    </row>
    <row r="184" spans="1:4" ht="25.5">
      <c r="A184" s="48" t="s">
        <v>35</v>
      </c>
      <c r="B184" s="4" t="s">
        <v>51</v>
      </c>
      <c r="C184" s="21">
        <v>4120.2</v>
      </c>
      <c r="D184" s="22">
        <v>4120.2</v>
      </c>
    </row>
    <row r="185" spans="1:4" ht="39" customHeight="1">
      <c r="A185" s="108" t="s">
        <v>129</v>
      </c>
      <c r="B185" s="4" t="s">
        <v>54</v>
      </c>
      <c r="C185" s="16">
        <v>838</v>
      </c>
      <c r="D185" s="22">
        <v>838</v>
      </c>
    </row>
    <row r="186" spans="1:4" ht="25.5">
      <c r="A186" s="110"/>
      <c r="B186" s="4" t="s">
        <v>51</v>
      </c>
      <c r="C186" s="16">
        <v>63</v>
      </c>
      <c r="D186" s="22">
        <v>63</v>
      </c>
    </row>
    <row r="187" spans="1:4" ht="25.5">
      <c r="A187" s="48" t="s">
        <v>119</v>
      </c>
      <c r="B187" s="4" t="s">
        <v>54</v>
      </c>
      <c r="C187" s="16">
        <v>23.7</v>
      </c>
      <c r="D187" s="22">
        <v>23.7</v>
      </c>
    </row>
    <row r="188" spans="1:4" ht="26.25" customHeight="1" hidden="1">
      <c r="A188" s="73" t="s">
        <v>233</v>
      </c>
      <c r="B188" s="4" t="s">
        <v>54</v>
      </c>
      <c r="C188" s="16"/>
      <c r="D188" s="22"/>
    </row>
    <row r="189" spans="1:4" ht="25.5" hidden="1">
      <c r="A189" s="74"/>
      <c r="B189" s="4" t="s">
        <v>51</v>
      </c>
      <c r="C189" s="16"/>
      <c r="D189" s="22"/>
    </row>
    <row r="190" spans="1:4" ht="12.75" hidden="1">
      <c r="A190" s="73" t="s">
        <v>238</v>
      </c>
      <c r="B190" s="4" t="s">
        <v>52</v>
      </c>
      <c r="C190" s="16"/>
      <c r="D190" s="22"/>
    </row>
    <row r="191" spans="1:4" ht="17.25" customHeight="1" hidden="1">
      <c r="A191" s="86"/>
      <c r="B191" s="4" t="s">
        <v>54</v>
      </c>
      <c r="C191" s="16"/>
      <c r="D191" s="22"/>
    </row>
    <row r="192" spans="1:4" ht="27.75" customHeight="1" hidden="1">
      <c r="A192" s="74"/>
      <c r="B192" s="4" t="s">
        <v>51</v>
      </c>
      <c r="C192" s="16"/>
      <c r="D192" s="22"/>
    </row>
    <row r="193" spans="1:4" ht="24" customHeight="1" hidden="1">
      <c r="A193" s="73" t="s">
        <v>251</v>
      </c>
      <c r="B193" s="4" t="s">
        <v>54</v>
      </c>
      <c r="C193" s="16"/>
      <c r="D193" s="22"/>
    </row>
    <row r="194" spans="1:4" ht="24" customHeight="1" hidden="1">
      <c r="A194" s="86"/>
      <c r="B194" s="4" t="s">
        <v>51</v>
      </c>
      <c r="C194" s="16"/>
      <c r="D194" s="22"/>
    </row>
    <row r="195" spans="1:4" ht="12.75">
      <c r="A195" s="80" t="s">
        <v>149</v>
      </c>
      <c r="B195" s="3" t="s">
        <v>50</v>
      </c>
      <c r="C195" s="14">
        <f>C196+C197</f>
        <v>4092.2000000000003</v>
      </c>
      <c r="D195" s="14">
        <f>D196+D197</f>
        <v>4092.2000000000003</v>
      </c>
    </row>
    <row r="196" spans="1:4" ht="42.75" customHeight="1">
      <c r="A196" s="81"/>
      <c r="B196" s="3" t="s">
        <v>51</v>
      </c>
      <c r="C196" s="14">
        <f>C200+C201+C202+C203</f>
        <v>4092.2000000000003</v>
      </c>
      <c r="D196" s="14">
        <f>D200+D201+D202+D203</f>
        <v>4092.2000000000003</v>
      </c>
    </row>
    <row r="197" spans="1:4" ht="38.25" hidden="1">
      <c r="A197" s="81"/>
      <c r="B197" s="3" t="s">
        <v>56</v>
      </c>
      <c r="C197" s="14">
        <f>C198+C199</f>
        <v>0</v>
      </c>
      <c r="D197" s="14">
        <f>D198+D199</f>
        <v>0</v>
      </c>
    </row>
    <row r="198" spans="1:4" ht="12.75" hidden="1">
      <c r="A198" s="81"/>
      <c r="B198" s="3" t="s">
        <v>52</v>
      </c>
      <c r="C198" s="14"/>
      <c r="D198" s="14"/>
    </row>
    <row r="199" spans="1:4" ht="12.75" hidden="1">
      <c r="A199" s="82"/>
      <c r="B199" s="3" t="s">
        <v>54</v>
      </c>
      <c r="C199" s="14"/>
      <c r="D199" s="14"/>
    </row>
    <row r="200" spans="1:4" ht="25.5">
      <c r="A200" s="50" t="s">
        <v>231</v>
      </c>
      <c r="B200" s="4" t="s">
        <v>51</v>
      </c>
      <c r="C200" s="23">
        <v>3586.8</v>
      </c>
      <c r="D200" s="23">
        <v>3586.8</v>
      </c>
    </row>
    <row r="201" spans="1:4" ht="25.5">
      <c r="A201" s="50" t="s">
        <v>146</v>
      </c>
      <c r="B201" s="4" t="s">
        <v>51</v>
      </c>
      <c r="C201" s="23"/>
      <c r="D201" s="23"/>
    </row>
    <row r="202" spans="1:4" ht="25.5">
      <c r="A202" s="50" t="s">
        <v>147</v>
      </c>
      <c r="B202" s="4" t="s">
        <v>51</v>
      </c>
      <c r="C202" s="23">
        <v>150.4</v>
      </c>
      <c r="D202" s="23">
        <v>150.4</v>
      </c>
    </row>
    <row r="203" spans="1:4" ht="25.5">
      <c r="A203" s="50" t="s">
        <v>148</v>
      </c>
      <c r="B203" s="4" t="s">
        <v>51</v>
      </c>
      <c r="C203" s="23">
        <v>355</v>
      </c>
      <c r="D203" s="23">
        <v>355</v>
      </c>
    </row>
    <row r="204" spans="1:4" ht="38.25" customHeight="1">
      <c r="A204" s="80" t="s">
        <v>78</v>
      </c>
      <c r="B204" s="3" t="s">
        <v>50</v>
      </c>
      <c r="C204" s="14">
        <f>C205+C206</f>
        <v>40247.399999999994</v>
      </c>
      <c r="D204" s="14">
        <f>D205+D206</f>
        <v>40247.399999999994</v>
      </c>
    </row>
    <row r="205" spans="1:4" ht="25.5">
      <c r="A205" s="81"/>
      <c r="B205" s="3" t="s">
        <v>51</v>
      </c>
      <c r="C205" s="14">
        <f>C210+C244+C259+C265</f>
        <v>2476.2</v>
      </c>
      <c r="D205" s="14">
        <f>D210+D244+D259+D265</f>
        <v>2476.2</v>
      </c>
    </row>
    <row r="206" spans="1:4" ht="38.25">
      <c r="A206" s="81"/>
      <c r="B206" s="3" t="s">
        <v>56</v>
      </c>
      <c r="C206" s="14">
        <f>C211+C245+C260+C266</f>
        <v>37771.2</v>
      </c>
      <c r="D206" s="14">
        <f>D211+D245+D260+D266</f>
        <v>37771.2</v>
      </c>
    </row>
    <row r="207" spans="1:10" ht="12.75">
      <c r="A207" s="81"/>
      <c r="B207" s="3" t="s">
        <v>52</v>
      </c>
      <c r="C207" s="14">
        <f>C212+C247</f>
        <v>940</v>
      </c>
      <c r="D207" s="14">
        <f>D212+D247</f>
        <v>940</v>
      </c>
      <c r="J207" s="66"/>
    </row>
    <row r="208" spans="1:4" ht="12.75">
      <c r="A208" s="82"/>
      <c r="B208" s="3" t="s">
        <v>54</v>
      </c>
      <c r="C208" s="14">
        <f>C213+C246+C261</f>
        <v>36831.2</v>
      </c>
      <c r="D208" s="14">
        <f>D213+D246+D261</f>
        <v>36831.2</v>
      </c>
    </row>
    <row r="209" spans="1:4" ht="33.75" customHeight="1">
      <c r="A209" s="77" t="s">
        <v>79</v>
      </c>
      <c r="B209" s="5" t="s">
        <v>50</v>
      </c>
      <c r="C209" s="20">
        <f>C210+C211</f>
        <v>4912.5</v>
      </c>
      <c r="D209" s="20">
        <f>D210+D211</f>
        <v>4912.5</v>
      </c>
    </row>
    <row r="210" spans="1:4" ht="25.5">
      <c r="A210" s="78"/>
      <c r="B210" s="5" t="s">
        <v>51</v>
      </c>
      <c r="C210" s="20">
        <f>C214+C215+C216+C217+C218+C219</f>
        <v>2199.7</v>
      </c>
      <c r="D210" s="20">
        <f>D214+D215+D216+D217+D218+D219</f>
        <v>2199.7</v>
      </c>
    </row>
    <row r="211" spans="1:4" ht="38.25">
      <c r="A211" s="78"/>
      <c r="B211" s="5" t="s">
        <v>56</v>
      </c>
      <c r="C211" s="20">
        <f>C212+C213</f>
        <v>2712.7999999999997</v>
      </c>
      <c r="D211" s="20">
        <f>D212+D213</f>
        <v>2712.7999999999997</v>
      </c>
    </row>
    <row r="212" spans="1:10" ht="12.75">
      <c r="A212" s="78"/>
      <c r="B212" s="5" t="s">
        <v>52</v>
      </c>
      <c r="C212" s="20">
        <f>C220+C221+C222+C223+C224+C225+C241</f>
        <v>0</v>
      </c>
      <c r="D212" s="20">
        <f>D220+D221+D222+D223+D224+D225+D241</f>
        <v>0</v>
      </c>
      <c r="J212" s="66"/>
    </row>
    <row r="213" spans="1:4" ht="12.75">
      <c r="A213" s="79"/>
      <c r="B213" s="5" t="s">
        <v>54</v>
      </c>
      <c r="C213" s="20">
        <f>C226+C227+C228+C229+C230+C231+C232+C233+C234+C235+C236+C237+C240</f>
        <v>2712.7999999999997</v>
      </c>
      <c r="D213" s="20">
        <f>D226+D227+D228+D229+D230+D231+D232+D233+D234+D235+D236+D237+D240</f>
        <v>2712.7999999999997</v>
      </c>
    </row>
    <row r="214" spans="1:4" ht="38.25">
      <c r="A214" s="48" t="s">
        <v>130</v>
      </c>
      <c r="B214" s="4" t="s">
        <v>51</v>
      </c>
      <c r="C214" s="16">
        <v>1817.9</v>
      </c>
      <c r="D214" s="21">
        <v>1817.9</v>
      </c>
    </row>
    <row r="215" spans="1:4" ht="25.5">
      <c r="A215" s="48" t="s">
        <v>131</v>
      </c>
      <c r="B215" s="4" t="s">
        <v>51</v>
      </c>
      <c r="C215" s="16">
        <v>369.7</v>
      </c>
      <c r="D215" s="21">
        <v>369.7</v>
      </c>
    </row>
    <row r="216" spans="1:4" ht="25.5" hidden="1">
      <c r="A216" s="48" t="s">
        <v>98</v>
      </c>
      <c r="B216" s="4" t="s">
        <v>51</v>
      </c>
      <c r="C216" s="16"/>
      <c r="D216" s="21"/>
    </row>
    <row r="217" spans="1:4" ht="25.5" hidden="1">
      <c r="A217" s="48" t="s">
        <v>132</v>
      </c>
      <c r="B217" s="4" t="s">
        <v>51</v>
      </c>
      <c r="C217" s="16"/>
      <c r="D217" s="21"/>
    </row>
    <row r="218" spans="1:4" ht="25.5">
      <c r="A218" s="48" t="s">
        <v>133</v>
      </c>
      <c r="B218" s="4" t="s">
        <v>51</v>
      </c>
      <c r="C218" s="16">
        <v>12.1</v>
      </c>
      <c r="D218" s="21">
        <v>12.1</v>
      </c>
    </row>
    <row r="219" spans="1:4" ht="25.5" hidden="1">
      <c r="A219" s="48" t="s">
        <v>205</v>
      </c>
      <c r="B219" s="4" t="s">
        <v>51</v>
      </c>
      <c r="C219" s="16"/>
      <c r="D219" s="21"/>
    </row>
    <row r="220" spans="1:4" ht="54" customHeight="1" hidden="1">
      <c r="A220" s="48" t="s">
        <v>134</v>
      </c>
      <c r="B220" s="4" t="s">
        <v>52</v>
      </c>
      <c r="C220" s="16"/>
      <c r="D220" s="21"/>
    </row>
    <row r="221" spans="1:4" ht="38.25" hidden="1">
      <c r="A221" s="48" t="s">
        <v>135</v>
      </c>
      <c r="B221" s="4" t="s">
        <v>52</v>
      </c>
      <c r="C221" s="16"/>
      <c r="D221" s="21"/>
    </row>
    <row r="222" spans="1:4" ht="25.5" hidden="1">
      <c r="A222" s="48" t="s">
        <v>136</v>
      </c>
      <c r="B222" s="4" t="s">
        <v>52</v>
      </c>
      <c r="C222" s="16"/>
      <c r="D222" s="21"/>
    </row>
    <row r="223" spans="1:6" ht="89.25" hidden="1">
      <c r="A223" s="48" t="s">
        <v>137</v>
      </c>
      <c r="B223" s="4" t="s">
        <v>52</v>
      </c>
      <c r="C223" s="16"/>
      <c r="D223" s="21"/>
      <c r="F223" s="58">
        <v>231333.78</v>
      </c>
    </row>
    <row r="224" spans="1:6" ht="89.25" hidden="1">
      <c r="A224" s="48" t="s">
        <v>138</v>
      </c>
      <c r="B224" s="4" t="s">
        <v>52</v>
      </c>
      <c r="C224" s="16"/>
      <c r="D224" s="21"/>
      <c r="F224" s="58">
        <v>2063.97</v>
      </c>
    </row>
    <row r="225" spans="1:6" ht="127.5" hidden="1">
      <c r="A225" s="48" t="s">
        <v>139</v>
      </c>
      <c r="B225" s="4" t="s">
        <v>52</v>
      </c>
      <c r="C225" s="16"/>
      <c r="D225" s="21"/>
      <c r="F225" s="58">
        <v>11231368.26</v>
      </c>
    </row>
    <row r="226" spans="1:4" ht="63.75">
      <c r="A226" s="48" t="s">
        <v>140</v>
      </c>
      <c r="B226" s="4" t="s">
        <v>54</v>
      </c>
      <c r="C226" s="16">
        <v>536.3</v>
      </c>
      <c r="D226" s="21">
        <v>536.3</v>
      </c>
    </row>
    <row r="227" spans="1:4" ht="153" hidden="1">
      <c r="A227" s="48" t="s">
        <v>141</v>
      </c>
      <c r="B227" s="4" t="s">
        <v>54</v>
      </c>
      <c r="C227" s="16"/>
      <c r="D227" s="21"/>
    </row>
    <row r="228" spans="1:4" ht="89.25">
      <c r="A228" s="48" t="s">
        <v>142</v>
      </c>
      <c r="B228" s="4" t="s">
        <v>54</v>
      </c>
      <c r="C228" s="16">
        <v>38.8</v>
      </c>
      <c r="D228" s="21">
        <v>38.8</v>
      </c>
    </row>
    <row r="229" spans="1:4" ht="63.75" hidden="1">
      <c r="A229" s="48" t="s">
        <v>0</v>
      </c>
      <c r="B229" s="4" t="s">
        <v>54</v>
      </c>
      <c r="C229" s="16"/>
      <c r="D229" s="21"/>
    </row>
    <row r="230" spans="1:4" ht="51" hidden="1">
      <c r="A230" s="48" t="s">
        <v>1</v>
      </c>
      <c r="B230" s="4" t="s">
        <v>54</v>
      </c>
      <c r="C230" s="16"/>
      <c r="D230" s="21"/>
    </row>
    <row r="231" spans="1:4" ht="25.5" hidden="1">
      <c r="A231" s="48" t="s">
        <v>2</v>
      </c>
      <c r="B231" s="4" t="s">
        <v>54</v>
      </c>
      <c r="C231" s="16"/>
      <c r="D231" s="21"/>
    </row>
    <row r="232" spans="1:4" ht="114.75" hidden="1">
      <c r="A232" s="48" t="s">
        <v>206</v>
      </c>
      <c r="B232" s="4" t="s">
        <v>54</v>
      </c>
      <c r="C232" s="16"/>
      <c r="D232" s="21"/>
    </row>
    <row r="233" spans="1:4" ht="51" hidden="1">
      <c r="A233" s="48" t="s">
        <v>97</v>
      </c>
      <c r="B233" s="4" t="s">
        <v>54</v>
      </c>
      <c r="C233" s="16"/>
      <c r="D233" s="21"/>
    </row>
    <row r="234" spans="1:8" s="11" customFormat="1" ht="51" hidden="1">
      <c r="A234" s="49" t="s">
        <v>3</v>
      </c>
      <c r="B234" s="10" t="s">
        <v>54</v>
      </c>
      <c r="C234" s="21"/>
      <c r="D234" s="21"/>
      <c r="E234" s="60"/>
      <c r="F234" s="60"/>
      <c r="G234" s="60"/>
      <c r="H234" s="60"/>
    </row>
    <row r="235" spans="1:4" ht="76.5">
      <c r="A235" s="48" t="s">
        <v>207</v>
      </c>
      <c r="B235" s="4" t="s">
        <v>54</v>
      </c>
      <c r="C235" s="16">
        <v>90.4</v>
      </c>
      <c r="D235" s="21">
        <v>90.4</v>
      </c>
    </row>
    <row r="236" spans="1:4" ht="89.25" hidden="1">
      <c r="A236" s="48" t="s">
        <v>4</v>
      </c>
      <c r="B236" s="4" t="s">
        <v>54</v>
      </c>
      <c r="C236" s="16"/>
      <c r="D236" s="21"/>
    </row>
    <row r="237" spans="1:4" ht="92.25" customHeight="1">
      <c r="A237" s="51" t="s">
        <v>150</v>
      </c>
      <c r="B237" s="9" t="s">
        <v>54</v>
      </c>
      <c r="C237" s="21">
        <v>2047.3</v>
      </c>
      <c r="D237" s="21">
        <v>2047.3</v>
      </c>
    </row>
    <row r="238" spans="1:6" ht="23.25" customHeight="1" hidden="1">
      <c r="A238" s="100" t="s">
        <v>190</v>
      </c>
      <c r="B238" s="27" t="s">
        <v>50</v>
      </c>
      <c r="C238" s="34">
        <f>C239</f>
        <v>0</v>
      </c>
      <c r="D238" s="34">
        <f>D239</f>
        <v>0</v>
      </c>
      <c r="E238" s="58">
        <v>10894600</v>
      </c>
      <c r="F238" s="58">
        <v>10894577.2</v>
      </c>
    </row>
    <row r="239" spans="1:4" ht="39.75" customHeight="1" hidden="1">
      <c r="A239" s="101"/>
      <c r="B239" s="27" t="s">
        <v>56</v>
      </c>
      <c r="C239" s="34">
        <f>C240+C241</f>
        <v>0</v>
      </c>
      <c r="D239" s="34">
        <f>D240+D241</f>
        <v>0</v>
      </c>
    </row>
    <row r="240" spans="1:4" ht="22.5" customHeight="1" hidden="1">
      <c r="A240" s="101"/>
      <c r="B240" s="27" t="s">
        <v>54</v>
      </c>
      <c r="C240" s="34">
        <v>0</v>
      </c>
      <c r="D240" s="34">
        <v>0</v>
      </c>
    </row>
    <row r="241" spans="1:4" ht="23.25" customHeight="1" hidden="1">
      <c r="A241" s="102"/>
      <c r="B241" s="27" t="s">
        <v>52</v>
      </c>
      <c r="C241" s="34">
        <f>C242</f>
        <v>0</v>
      </c>
      <c r="D241" s="34">
        <f>D242</f>
        <v>0</v>
      </c>
    </row>
    <row r="242" spans="1:8" s="11" customFormat="1" ht="32.25" customHeight="1" hidden="1">
      <c r="A242" s="52" t="s">
        <v>186</v>
      </c>
      <c r="B242" s="10" t="s">
        <v>52</v>
      </c>
      <c r="C242" s="21"/>
      <c r="D242" s="21"/>
      <c r="E242" s="60"/>
      <c r="F242" s="60"/>
      <c r="G242" s="60"/>
      <c r="H242" s="60"/>
    </row>
    <row r="243" spans="1:4" ht="33.75" customHeight="1">
      <c r="A243" s="77" t="s">
        <v>80</v>
      </c>
      <c r="B243" s="5" t="s">
        <v>50</v>
      </c>
      <c r="C243" s="20">
        <f>C244+C245</f>
        <v>29479</v>
      </c>
      <c r="D243" s="20">
        <f>D244+D245</f>
        <v>29479</v>
      </c>
    </row>
    <row r="244" spans="1:4" ht="25.5">
      <c r="A244" s="78"/>
      <c r="B244" s="5" t="s">
        <v>51</v>
      </c>
      <c r="C244" s="20">
        <f>C248</f>
        <v>0</v>
      </c>
      <c r="D244" s="20">
        <f>D248</f>
        <v>0</v>
      </c>
    </row>
    <row r="245" spans="1:4" ht="38.25">
      <c r="A245" s="78"/>
      <c r="B245" s="5" t="s">
        <v>56</v>
      </c>
      <c r="C245" s="20">
        <f>C246+C247</f>
        <v>29479</v>
      </c>
      <c r="D245" s="20">
        <f>D246+D247</f>
        <v>29479</v>
      </c>
    </row>
    <row r="246" spans="1:4" ht="12.75">
      <c r="A246" s="78"/>
      <c r="B246" s="5" t="s">
        <v>54</v>
      </c>
      <c r="C246" s="20">
        <f>C249+C250+C251+C253</f>
        <v>28539</v>
      </c>
      <c r="D246" s="20">
        <f>D249+D250+D251+D253</f>
        <v>28539</v>
      </c>
    </row>
    <row r="247" spans="1:4" ht="12.75">
      <c r="A247" s="79"/>
      <c r="B247" s="5" t="s">
        <v>52</v>
      </c>
      <c r="C247" s="20">
        <f>C254</f>
        <v>940</v>
      </c>
      <c r="D247" s="20">
        <f>D254</f>
        <v>940</v>
      </c>
    </row>
    <row r="248" spans="1:4" ht="103.5" customHeight="1" hidden="1">
      <c r="A248" s="53" t="s">
        <v>257</v>
      </c>
      <c r="B248" s="4" t="s">
        <v>51</v>
      </c>
      <c r="C248" s="23"/>
      <c r="D248" s="23"/>
    </row>
    <row r="249" spans="1:4" ht="102">
      <c r="A249" s="48" t="s">
        <v>208</v>
      </c>
      <c r="B249" s="4" t="s">
        <v>54</v>
      </c>
      <c r="C249" s="16">
        <v>24433.2</v>
      </c>
      <c r="D249" s="16">
        <v>24433.2</v>
      </c>
    </row>
    <row r="250" spans="1:4" ht="76.5">
      <c r="A250" s="48" t="s">
        <v>5</v>
      </c>
      <c r="B250" s="4" t="s">
        <v>54</v>
      </c>
      <c r="C250" s="16">
        <v>4057.7</v>
      </c>
      <c r="D250" s="16">
        <v>4057.7</v>
      </c>
    </row>
    <row r="251" spans="1:4" ht="89.25">
      <c r="A251" s="48" t="s">
        <v>81</v>
      </c>
      <c r="B251" s="4" t="s">
        <v>54</v>
      </c>
      <c r="C251" s="16">
        <v>19</v>
      </c>
      <c r="D251" s="16">
        <v>19</v>
      </c>
    </row>
    <row r="252" spans="1:4" ht="39.75" customHeight="1">
      <c r="A252" s="83" t="s">
        <v>240</v>
      </c>
      <c r="B252" s="27" t="s">
        <v>56</v>
      </c>
      <c r="C252" s="34">
        <f>C253+C254</f>
        <v>969.1</v>
      </c>
      <c r="D252" s="34">
        <f>D253+D254</f>
        <v>969.1</v>
      </c>
    </row>
    <row r="253" spans="1:4" ht="22.5" customHeight="1">
      <c r="A253" s="84"/>
      <c r="B253" s="27" t="s">
        <v>54</v>
      </c>
      <c r="C253" s="34">
        <f>C256</f>
        <v>29.1</v>
      </c>
      <c r="D253" s="34">
        <f>D256</f>
        <v>29.1</v>
      </c>
    </row>
    <row r="254" spans="1:4" ht="23.25" customHeight="1">
      <c r="A254" s="85"/>
      <c r="B254" s="27" t="s">
        <v>52</v>
      </c>
      <c r="C254" s="34">
        <f>C255</f>
        <v>940</v>
      </c>
      <c r="D254" s="34">
        <f>D255</f>
        <v>940</v>
      </c>
    </row>
    <row r="255" spans="1:4" ht="12.75">
      <c r="A255" s="73" t="s">
        <v>239</v>
      </c>
      <c r="B255" s="4" t="s">
        <v>52</v>
      </c>
      <c r="C255" s="21">
        <v>940</v>
      </c>
      <c r="D255" s="21">
        <v>940</v>
      </c>
    </row>
    <row r="256" spans="1:4" ht="12.75">
      <c r="A256" s="86"/>
      <c r="B256" s="4" t="s">
        <v>54</v>
      </c>
      <c r="C256" s="21">
        <v>29.1</v>
      </c>
      <c r="D256" s="21">
        <v>29.1</v>
      </c>
    </row>
    <row r="257" spans="1:4" ht="25.5" hidden="1">
      <c r="A257" s="74"/>
      <c r="B257" s="4" t="s">
        <v>51</v>
      </c>
      <c r="C257" s="16"/>
      <c r="D257" s="21"/>
    </row>
    <row r="258" spans="1:4" ht="33.75" customHeight="1">
      <c r="A258" s="77" t="s">
        <v>82</v>
      </c>
      <c r="B258" s="5" t="s">
        <v>50</v>
      </c>
      <c r="C258" s="20">
        <f>C259+C260</f>
        <v>5635.7</v>
      </c>
      <c r="D258" s="20">
        <f>D259+D260</f>
        <v>5635.7</v>
      </c>
    </row>
    <row r="259" spans="1:4" ht="25.5">
      <c r="A259" s="78"/>
      <c r="B259" s="5" t="s">
        <v>51</v>
      </c>
      <c r="C259" s="20">
        <f>C263</f>
        <v>56.3</v>
      </c>
      <c r="D259" s="20">
        <f>D263</f>
        <v>56.3</v>
      </c>
    </row>
    <row r="260" spans="1:4" ht="38.25">
      <c r="A260" s="78"/>
      <c r="B260" s="5" t="s">
        <v>56</v>
      </c>
      <c r="C260" s="20">
        <f>C262</f>
        <v>5579.4</v>
      </c>
      <c r="D260" s="20">
        <f>D262</f>
        <v>5579.4</v>
      </c>
    </row>
    <row r="261" spans="1:4" ht="12.75">
      <c r="A261" s="79"/>
      <c r="B261" s="5" t="s">
        <v>54</v>
      </c>
      <c r="C261" s="20">
        <f>C262</f>
        <v>5579.4</v>
      </c>
      <c r="D261" s="20">
        <f>D262</f>
        <v>5579.4</v>
      </c>
    </row>
    <row r="262" spans="1:4" ht="38.25">
      <c r="A262" s="48" t="s">
        <v>6</v>
      </c>
      <c r="B262" s="4" t="s">
        <v>54</v>
      </c>
      <c r="C262" s="16">
        <v>5579.4</v>
      </c>
      <c r="D262" s="16">
        <v>5579.4</v>
      </c>
    </row>
    <row r="263" spans="1:4" ht="25.5">
      <c r="A263" s="48" t="s">
        <v>151</v>
      </c>
      <c r="B263" s="4" t="s">
        <v>51</v>
      </c>
      <c r="C263" s="16">
        <v>56.3</v>
      </c>
      <c r="D263" s="16">
        <v>56.3</v>
      </c>
    </row>
    <row r="264" spans="1:4" ht="33.75" customHeight="1">
      <c r="A264" s="89" t="s">
        <v>83</v>
      </c>
      <c r="B264" s="5" t="s">
        <v>50</v>
      </c>
      <c r="C264" s="20">
        <f>C265+C266</f>
        <v>220.2</v>
      </c>
      <c r="D264" s="20">
        <f>D265+D266</f>
        <v>220.2</v>
      </c>
    </row>
    <row r="265" spans="1:4" ht="25.5">
      <c r="A265" s="89"/>
      <c r="B265" s="5" t="s">
        <v>51</v>
      </c>
      <c r="C265" s="20">
        <f>C267+C268+C269+C270+C271</f>
        <v>220.2</v>
      </c>
      <c r="D265" s="20">
        <f>D267+D268+D269+D270+D271</f>
        <v>220.2</v>
      </c>
    </row>
    <row r="266" spans="1:4" ht="38.25">
      <c r="A266" s="89"/>
      <c r="B266" s="5" t="s">
        <v>56</v>
      </c>
      <c r="C266" s="20">
        <v>0</v>
      </c>
      <c r="D266" s="20">
        <v>0</v>
      </c>
    </row>
    <row r="267" spans="1:4" ht="25.5">
      <c r="A267" s="48" t="s">
        <v>7</v>
      </c>
      <c r="B267" s="4" t="s">
        <v>51</v>
      </c>
      <c r="C267" s="16">
        <v>77.2</v>
      </c>
      <c r="D267" s="16">
        <v>77.2</v>
      </c>
    </row>
    <row r="268" spans="1:4" ht="51">
      <c r="A268" s="48" t="s">
        <v>8</v>
      </c>
      <c r="B268" s="4" t="s">
        <v>51</v>
      </c>
      <c r="C268" s="16">
        <v>16.2</v>
      </c>
      <c r="D268" s="16">
        <v>16.2</v>
      </c>
    </row>
    <row r="269" spans="1:4" ht="38.25" hidden="1">
      <c r="A269" s="48" t="s">
        <v>9</v>
      </c>
      <c r="B269" s="4" t="s">
        <v>51</v>
      </c>
      <c r="C269" s="16">
        <v>0</v>
      </c>
      <c r="D269" s="16">
        <v>0</v>
      </c>
    </row>
    <row r="270" spans="1:4" ht="38.25">
      <c r="A270" s="48" t="s">
        <v>10</v>
      </c>
      <c r="B270" s="4" t="s">
        <v>51</v>
      </c>
      <c r="C270" s="16">
        <v>20.8</v>
      </c>
      <c r="D270" s="16">
        <v>20.8</v>
      </c>
    </row>
    <row r="271" spans="1:4" ht="51">
      <c r="A271" s="48" t="s">
        <v>11</v>
      </c>
      <c r="B271" s="4" t="s">
        <v>51</v>
      </c>
      <c r="C271" s="16">
        <v>106</v>
      </c>
      <c r="D271" s="16">
        <v>106</v>
      </c>
    </row>
    <row r="272" spans="1:4" ht="38.25" customHeight="1">
      <c r="A272" s="80" t="s">
        <v>84</v>
      </c>
      <c r="B272" s="3" t="s">
        <v>50</v>
      </c>
      <c r="C272" s="14">
        <f>C273+C274</f>
        <v>14814.300000000003</v>
      </c>
      <c r="D272" s="14">
        <f>D273+D274</f>
        <v>14814.300000000003</v>
      </c>
    </row>
    <row r="273" spans="1:4" ht="25.5">
      <c r="A273" s="81"/>
      <c r="B273" s="3" t="s">
        <v>51</v>
      </c>
      <c r="C273" s="14">
        <f>C277+C294</f>
        <v>14814.300000000003</v>
      </c>
      <c r="D273" s="14">
        <f>D277+D294</f>
        <v>14814.300000000003</v>
      </c>
    </row>
    <row r="274" spans="1:4" ht="38.25" hidden="1">
      <c r="A274" s="81"/>
      <c r="B274" s="3" t="s">
        <v>56</v>
      </c>
      <c r="C274" s="14">
        <f>C275</f>
        <v>0</v>
      </c>
      <c r="D274" s="14">
        <f>D275</f>
        <v>0</v>
      </c>
    </row>
    <row r="275" spans="1:4" ht="12.75" hidden="1">
      <c r="A275" s="82"/>
      <c r="B275" s="3" t="s">
        <v>54</v>
      </c>
      <c r="C275" s="14">
        <f>C296+C279</f>
        <v>0</v>
      </c>
      <c r="D275" s="14">
        <f>D296+D279</f>
        <v>0</v>
      </c>
    </row>
    <row r="276" spans="1:4" ht="33.75" customHeight="1">
      <c r="A276" s="77" t="s">
        <v>85</v>
      </c>
      <c r="B276" s="5" t="s">
        <v>50</v>
      </c>
      <c r="C276" s="20">
        <f>C277+C278</f>
        <v>14711.900000000003</v>
      </c>
      <c r="D276" s="20">
        <f>D277+D278</f>
        <v>14711.900000000003</v>
      </c>
    </row>
    <row r="277" spans="1:4" ht="25.5">
      <c r="A277" s="78"/>
      <c r="B277" s="5" t="s">
        <v>51</v>
      </c>
      <c r="C277" s="20">
        <f>C280+C281+C282+C286+C287+C289+C292+C283+C284+C285+C291+C290</f>
        <v>14711.900000000003</v>
      </c>
      <c r="D277" s="20">
        <f>D280+D281+D282+D286+D287+D289+D292+D283+D284+D285+D291</f>
        <v>14711.900000000003</v>
      </c>
    </row>
    <row r="278" spans="1:4" ht="38.25" hidden="1">
      <c r="A278" s="78"/>
      <c r="B278" s="5" t="s">
        <v>56</v>
      </c>
      <c r="C278" s="20">
        <f>C279</f>
        <v>0</v>
      </c>
      <c r="D278" s="20">
        <f>D279</f>
        <v>0</v>
      </c>
    </row>
    <row r="279" spans="1:4" ht="12.75" hidden="1">
      <c r="A279" s="79"/>
      <c r="B279" s="5" t="s">
        <v>54</v>
      </c>
      <c r="C279" s="20">
        <f>C288</f>
        <v>0</v>
      </c>
      <c r="D279" s="20">
        <f>D288</f>
        <v>0</v>
      </c>
    </row>
    <row r="280" spans="1:4" ht="25.5" hidden="1">
      <c r="A280" s="48" t="s">
        <v>12</v>
      </c>
      <c r="B280" s="4" t="s">
        <v>51</v>
      </c>
      <c r="C280" s="16">
        <v>0</v>
      </c>
      <c r="D280" s="16"/>
    </row>
    <row r="281" spans="1:4" ht="25.5">
      <c r="A281" s="48" t="s">
        <v>13</v>
      </c>
      <c r="B281" s="4" t="s">
        <v>51</v>
      </c>
      <c r="C281" s="16">
        <v>93.2</v>
      </c>
      <c r="D281" s="16">
        <v>93.2</v>
      </c>
    </row>
    <row r="282" spans="1:4" ht="25.5">
      <c r="A282" s="48" t="s">
        <v>103</v>
      </c>
      <c r="B282" s="4" t="s">
        <v>51</v>
      </c>
      <c r="C282" s="21">
        <v>527.3</v>
      </c>
      <c r="D282" s="21">
        <v>527.3</v>
      </c>
    </row>
    <row r="283" spans="1:4" ht="38.25">
      <c r="A283" s="48" t="s">
        <v>241</v>
      </c>
      <c r="B283" s="4" t="s">
        <v>51</v>
      </c>
      <c r="C283" s="21">
        <v>1412.6</v>
      </c>
      <c r="D283" s="21">
        <v>1412.6</v>
      </c>
    </row>
    <row r="284" spans="1:4" ht="25.5">
      <c r="A284" s="48" t="s">
        <v>242</v>
      </c>
      <c r="B284" s="4" t="s">
        <v>51</v>
      </c>
      <c r="C284" s="21">
        <v>892.2</v>
      </c>
      <c r="D284" s="21">
        <v>892.2</v>
      </c>
    </row>
    <row r="285" spans="1:4" ht="25.5">
      <c r="A285" s="48" t="s">
        <v>243</v>
      </c>
      <c r="B285" s="4" t="s">
        <v>51</v>
      </c>
      <c r="C285" s="21">
        <v>1578.7</v>
      </c>
      <c r="D285" s="21">
        <v>1578.7</v>
      </c>
    </row>
    <row r="286" spans="1:4" ht="25.5">
      <c r="A286" s="48" t="s">
        <v>244</v>
      </c>
      <c r="B286" s="4" t="s">
        <v>51</v>
      </c>
      <c r="C286" s="21">
        <v>8216.2</v>
      </c>
      <c r="D286" s="21">
        <v>8216.2</v>
      </c>
    </row>
    <row r="287" spans="1:4" ht="25.5">
      <c r="A287" s="48" t="s">
        <v>35</v>
      </c>
      <c r="B287" s="4" t="s">
        <v>51</v>
      </c>
      <c r="C287" s="21">
        <v>1986.6</v>
      </c>
      <c r="D287" s="21">
        <v>1986.6</v>
      </c>
    </row>
    <row r="288" spans="1:4" ht="12.75" customHeight="1" hidden="1">
      <c r="A288" s="108" t="s">
        <v>209</v>
      </c>
      <c r="B288" s="4" t="s">
        <v>54</v>
      </c>
      <c r="C288" s="21">
        <v>0</v>
      </c>
      <c r="D288" s="21">
        <v>0</v>
      </c>
    </row>
    <row r="289" spans="1:4" ht="25.5" hidden="1">
      <c r="A289" s="109"/>
      <c r="B289" s="4" t="s">
        <v>51</v>
      </c>
      <c r="C289" s="21">
        <v>0</v>
      </c>
      <c r="D289" s="21">
        <v>0</v>
      </c>
    </row>
    <row r="290" spans="1:4" ht="12.75" hidden="1">
      <c r="A290" s="110"/>
      <c r="B290" s="4" t="s">
        <v>258</v>
      </c>
      <c r="C290" s="21">
        <v>0</v>
      </c>
      <c r="D290" s="21">
        <v>0</v>
      </c>
    </row>
    <row r="291" spans="1:4" ht="30" customHeight="1" hidden="1">
      <c r="A291" s="48" t="s">
        <v>253</v>
      </c>
      <c r="B291" s="4" t="s">
        <v>51</v>
      </c>
      <c r="C291" s="21"/>
      <c r="D291" s="21"/>
    </row>
    <row r="292" spans="1:4" ht="51">
      <c r="A292" s="55" t="s">
        <v>252</v>
      </c>
      <c r="B292" s="4" t="s">
        <v>51</v>
      </c>
      <c r="C292" s="21">
        <v>5.1</v>
      </c>
      <c r="D292" s="21">
        <v>5.1</v>
      </c>
    </row>
    <row r="293" spans="1:4" ht="33.75" customHeight="1">
      <c r="A293" s="77" t="s">
        <v>86</v>
      </c>
      <c r="B293" s="5" t="s">
        <v>50</v>
      </c>
      <c r="C293" s="20">
        <f>C294+C295</f>
        <v>102.4</v>
      </c>
      <c r="D293" s="20">
        <f>D294+D295</f>
        <v>102.4</v>
      </c>
    </row>
    <row r="294" spans="1:4" ht="25.5">
      <c r="A294" s="78"/>
      <c r="B294" s="5" t="s">
        <v>51</v>
      </c>
      <c r="C294" s="20">
        <f>C297+C298+C299+C302+C303+C301</f>
        <v>102.4</v>
      </c>
      <c r="D294" s="20">
        <f>D297+D298+D299+D302+D301</f>
        <v>102.4</v>
      </c>
    </row>
    <row r="295" spans="1:4" ht="38.25" hidden="1">
      <c r="A295" s="78"/>
      <c r="B295" s="5" t="s">
        <v>56</v>
      </c>
      <c r="C295" s="20">
        <f>C296</f>
        <v>0</v>
      </c>
      <c r="D295" s="20">
        <f>D296</f>
        <v>0</v>
      </c>
    </row>
    <row r="296" spans="1:4" ht="12.75" hidden="1">
      <c r="A296" s="79"/>
      <c r="B296" s="5" t="s">
        <v>54</v>
      </c>
      <c r="C296" s="20">
        <f>C300</f>
        <v>0</v>
      </c>
      <c r="D296" s="20">
        <f>D300</f>
        <v>0</v>
      </c>
    </row>
    <row r="297" spans="1:4" ht="25.5">
      <c r="A297" s="48" t="s">
        <v>87</v>
      </c>
      <c r="B297" s="4" t="s">
        <v>51</v>
      </c>
      <c r="C297" s="16">
        <v>17</v>
      </c>
      <c r="D297" s="16">
        <v>17</v>
      </c>
    </row>
    <row r="298" spans="1:4" ht="25.5">
      <c r="A298" s="48" t="s">
        <v>14</v>
      </c>
      <c r="B298" s="4" t="s">
        <v>51</v>
      </c>
      <c r="C298" s="16">
        <v>85.4</v>
      </c>
      <c r="D298" s="16">
        <v>85.4</v>
      </c>
    </row>
    <row r="299" spans="1:4" ht="25.5" hidden="1">
      <c r="A299" s="48" t="s">
        <v>15</v>
      </c>
      <c r="B299" s="4" t="s">
        <v>51</v>
      </c>
      <c r="C299" s="16"/>
      <c r="D299" s="16"/>
    </row>
    <row r="300" spans="1:4" ht="26.25" customHeight="1" hidden="1">
      <c r="A300" s="73" t="s">
        <v>16</v>
      </c>
      <c r="B300" s="4" t="s">
        <v>54</v>
      </c>
      <c r="C300" s="21"/>
      <c r="D300" s="21"/>
    </row>
    <row r="301" spans="1:4" ht="25.5" hidden="1">
      <c r="A301" s="74"/>
      <c r="B301" s="4" t="s">
        <v>51</v>
      </c>
      <c r="C301" s="21"/>
      <c r="D301" s="21"/>
    </row>
    <row r="302" spans="1:4" ht="25.5" hidden="1">
      <c r="A302" s="48" t="s">
        <v>17</v>
      </c>
      <c r="B302" s="4" t="s">
        <v>51</v>
      </c>
      <c r="C302" s="16"/>
      <c r="D302" s="16"/>
    </row>
    <row r="303" spans="1:4" ht="25.5" hidden="1">
      <c r="A303" s="48" t="s">
        <v>201</v>
      </c>
      <c r="B303" s="4" t="s">
        <v>51</v>
      </c>
      <c r="C303" s="16"/>
      <c r="D303" s="16"/>
    </row>
    <row r="304" spans="1:4" ht="38.25" customHeight="1">
      <c r="A304" s="95" t="s">
        <v>39</v>
      </c>
      <c r="B304" s="3" t="s">
        <v>50</v>
      </c>
      <c r="C304" s="14">
        <f>C305+C306</f>
        <v>85.8</v>
      </c>
      <c r="D304" s="14">
        <f>D305+D306</f>
        <v>85.8</v>
      </c>
    </row>
    <row r="305" spans="1:4" ht="26.25" customHeight="1">
      <c r="A305" s="95"/>
      <c r="B305" s="87" t="s">
        <v>51</v>
      </c>
      <c r="C305" s="75">
        <f>C307+C308+C309+C310</f>
        <v>85.8</v>
      </c>
      <c r="D305" s="75">
        <f>D307+D308+D309</f>
        <v>85.8</v>
      </c>
    </row>
    <row r="306" spans="1:4" ht="12.75">
      <c r="A306" s="95"/>
      <c r="B306" s="88"/>
      <c r="C306" s="76"/>
      <c r="D306" s="76"/>
    </row>
    <row r="307" spans="1:4" ht="25.5" hidden="1">
      <c r="A307" s="48" t="s">
        <v>259</v>
      </c>
      <c r="B307" s="4" t="s">
        <v>51</v>
      </c>
      <c r="C307" s="16"/>
      <c r="D307" s="16"/>
    </row>
    <row r="308" spans="1:4" ht="25.5" hidden="1">
      <c r="A308" s="48" t="s">
        <v>18</v>
      </c>
      <c r="B308" s="4" t="s">
        <v>51</v>
      </c>
      <c r="C308" s="16"/>
      <c r="D308" s="16"/>
    </row>
    <row r="309" spans="1:4" ht="25.5">
      <c r="A309" s="48" t="s">
        <v>152</v>
      </c>
      <c r="B309" s="4" t="s">
        <v>51</v>
      </c>
      <c r="C309" s="16">
        <v>85.8</v>
      </c>
      <c r="D309" s="16">
        <v>85.8</v>
      </c>
    </row>
    <row r="310" spans="1:4" ht="25.5" hidden="1">
      <c r="A310" s="48" t="s">
        <v>210</v>
      </c>
      <c r="B310" s="4" t="s">
        <v>51</v>
      </c>
      <c r="C310" s="16"/>
      <c r="D310" s="16"/>
    </row>
    <row r="311" spans="1:4" ht="38.25" customHeight="1">
      <c r="A311" s="95" t="s">
        <v>40</v>
      </c>
      <c r="B311" s="3" t="s">
        <v>50</v>
      </c>
      <c r="C311" s="14">
        <f>C312+C313</f>
        <v>103511.30000000002</v>
      </c>
      <c r="D311" s="14">
        <f>D312+D313</f>
        <v>103511.30000000002</v>
      </c>
    </row>
    <row r="312" spans="1:4" ht="25.5">
      <c r="A312" s="95"/>
      <c r="B312" s="3" t="s">
        <v>51</v>
      </c>
      <c r="C312" s="14">
        <f>C317+C327+C333+C345+C352+C369+C373+C315+C331-C314</f>
        <v>32428.800000000003</v>
      </c>
      <c r="D312" s="14">
        <f>D317+D327+D333+D345+D352+D369+D373+D315</f>
        <v>32428.800000000003</v>
      </c>
    </row>
    <row r="313" spans="1:4" ht="38.25">
      <c r="A313" s="95"/>
      <c r="B313" s="3" t="s">
        <v>56</v>
      </c>
      <c r="C313" s="14">
        <f>C318+C328+C334+C346+C353+C370+C374+C314</f>
        <v>71082.50000000001</v>
      </c>
      <c r="D313" s="14">
        <f>D318+D328+D334+D346+D353+D370+D374+D314</f>
        <v>71082.50000000001</v>
      </c>
    </row>
    <row r="314" spans="1:4" ht="12.75" hidden="1">
      <c r="A314" s="70"/>
      <c r="B314" s="3" t="s">
        <v>54</v>
      </c>
      <c r="C314" s="14">
        <f>C331</f>
        <v>0</v>
      </c>
      <c r="D314" s="14">
        <f>D331</f>
        <v>0</v>
      </c>
    </row>
    <row r="315" spans="1:4" ht="38.25">
      <c r="A315" s="50" t="s">
        <v>211</v>
      </c>
      <c r="B315" s="37" t="s">
        <v>51</v>
      </c>
      <c r="C315" s="23">
        <v>6823.2</v>
      </c>
      <c r="D315" s="23">
        <v>6823.2</v>
      </c>
    </row>
    <row r="316" spans="1:4" ht="33.75" customHeight="1" hidden="1">
      <c r="A316" s="89" t="s">
        <v>41</v>
      </c>
      <c r="B316" s="5" t="s">
        <v>50</v>
      </c>
      <c r="C316" s="20"/>
      <c r="D316" s="20"/>
    </row>
    <row r="317" spans="1:4" ht="25.5" hidden="1">
      <c r="A317" s="89"/>
      <c r="B317" s="5" t="s">
        <v>51</v>
      </c>
      <c r="C317" s="20"/>
      <c r="D317" s="20"/>
    </row>
    <row r="318" spans="1:4" ht="38.25" hidden="1">
      <c r="A318" s="89"/>
      <c r="B318" s="5" t="s">
        <v>56</v>
      </c>
      <c r="C318" s="20"/>
      <c r="D318" s="20"/>
    </row>
    <row r="319" spans="1:4" ht="12.75" hidden="1">
      <c r="A319" s="54"/>
      <c r="B319" s="5" t="s">
        <v>54</v>
      </c>
      <c r="C319" s="20"/>
      <c r="D319" s="20"/>
    </row>
    <row r="320" spans="1:4" ht="38.25" hidden="1">
      <c r="A320" s="48" t="s">
        <v>19</v>
      </c>
      <c r="B320" s="4" t="s">
        <v>51</v>
      </c>
      <c r="C320" s="16"/>
      <c r="D320" s="16"/>
    </row>
    <row r="321" spans="1:4" ht="25.5" hidden="1">
      <c r="A321" s="73" t="s">
        <v>153</v>
      </c>
      <c r="B321" s="4" t="s">
        <v>51</v>
      </c>
      <c r="C321" s="16"/>
      <c r="D321" s="16"/>
    </row>
    <row r="322" spans="1:4" ht="12.75" hidden="1">
      <c r="A322" s="74"/>
      <c r="B322" s="4" t="s">
        <v>54</v>
      </c>
      <c r="C322" s="16"/>
      <c r="D322" s="16"/>
    </row>
    <row r="323" spans="1:12" ht="25.5" hidden="1">
      <c r="A323" s="73" t="s">
        <v>178</v>
      </c>
      <c r="B323" s="4" t="s">
        <v>51</v>
      </c>
      <c r="C323" s="16"/>
      <c r="D323" s="16"/>
      <c r="K323" s="11">
        <v>689.2</v>
      </c>
      <c r="L323" s="11">
        <f>J323-K323</f>
        <v>-689.2</v>
      </c>
    </row>
    <row r="324" spans="1:12" ht="12.75" hidden="1">
      <c r="A324" s="74"/>
      <c r="B324" s="4" t="s">
        <v>54</v>
      </c>
      <c r="C324" s="16"/>
      <c r="D324" s="16"/>
      <c r="K324" s="11">
        <v>6210</v>
      </c>
      <c r="L324" s="11">
        <f>J324-K324</f>
        <v>-6210</v>
      </c>
    </row>
    <row r="325" spans="1:4" ht="12.75" hidden="1">
      <c r="A325" s="35"/>
      <c r="B325" s="4"/>
      <c r="C325" s="16"/>
      <c r="D325" s="16"/>
    </row>
    <row r="326" spans="1:4" ht="33.75" customHeight="1" hidden="1">
      <c r="A326" s="89" t="s">
        <v>42</v>
      </c>
      <c r="B326" s="5" t="s">
        <v>50</v>
      </c>
      <c r="C326" s="20"/>
      <c r="D326" s="20"/>
    </row>
    <row r="327" spans="1:4" ht="25.5" hidden="1">
      <c r="A327" s="89"/>
      <c r="B327" s="5" t="s">
        <v>51</v>
      </c>
      <c r="C327" s="20"/>
      <c r="D327" s="20"/>
    </row>
    <row r="328" spans="1:4" ht="38.25" hidden="1">
      <c r="A328" s="89"/>
      <c r="B328" s="5" t="s">
        <v>56</v>
      </c>
      <c r="C328" s="20"/>
      <c r="D328" s="20"/>
    </row>
    <row r="329" spans="1:4" ht="12.75" hidden="1">
      <c r="A329" s="54"/>
      <c r="B329" s="5" t="s">
        <v>54</v>
      </c>
      <c r="C329" s="20"/>
      <c r="D329" s="20"/>
    </row>
    <row r="330" spans="1:4" ht="25.5" hidden="1">
      <c r="A330" s="48" t="s">
        <v>20</v>
      </c>
      <c r="B330" s="6" t="s">
        <v>51</v>
      </c>
      <c r="C330" s="16"/>
      <c r="D330" s="16"/>
    </row>
    <row r="331" spans="1:4" ht="51" hidden="1">
      <c r="A331" s="40" t="s">
        <v>195</v>
      </c>
      <c r="B331" s="4" t="s">
        <v>54</v>
      </c>
      <c r="C331" s="16"/>
      <c r="D331" s="16"/>
    </row>
    <row r="332" spans="1:4" ht="33.75" customHeight="1">
      <c r="A332" s="77" t="s">
        <v>43</v>
      </c>
      <c r="B332" s="5" t="s">
        <v>50</v>
      </c>
      <c r="C332" s="20">
        <f>C333+C334</f>
        <v>8564.6</v>
      </c>
      <c r="D332" s="20">
        <f>D333+D334</f>
        <v>8564.6</v>
      </c>
    </row>
    <row r="333" spans="1:4" ht="25.5">
      <c r="A333" s="78"/>
      <c r="B333" s="5" t="s">
        <v>51</v>
      </c>
      <c r="C333" s="20">
        <f>C336+C337+C338+C340+C343</f>
        <v>8500</v>
      </c>
      <c r="D333" s="20">
        <f>D336+D337+D338+D340+D343</f>
        <v>8500</v>
      </c>
    </row>
    <row r="334" spans="1:4" ht="38.25">
      <c r="A334" s="78"/>
      <c r="B334" s="5" t="s">
        <v>56</v>
      </c>
      <c r="C334" s="20">
        <f>C335</f>
        <v>64.6</v>
      </c>
      <c r="D334" s="20">
        <f>D335</f>
        <v>64.6</v>
      </c>
    </row>
    <row r="335" spans="1:4" ht="12.75">
      <c r="A335" s="79"/>
      <c r="B335" s="5" t="s">
        <v>54</v>
      </c>
      <c r="C335" s="20">
        <f>C342+C341+C339</f>
        <v>64.6</v>
      </c>
      <c r="D335" s="20">
        <f>D342+D341+D339</f>
        <v>64.6</v>
      </c>
    </row>
    <row r="336" spans="1:4" ht="25.5">
      <c r="A336" s="48" t="s">
        <v>21</v>
      </c>
      <c r="B336" s="4" t="s">
        <v>51</v>
      </c>
      <c r="C336" s="16">
        <v>6493.3</v>
      </c>
      <c r="D336" s="16">
        <v>6493.3</v>
      </c>
    </row>
    <row r="337" spans="1:4" ht="25.5">
      <c r="A337" s="48" t="s">
        <v>22</v>
      </c>
      <c r="B337" s="4" t="s">
        <v>51</v>
      </c>
      <c r="C337" s="16">
        <v>2006.7</v>
      </c>
      <c r="D337" s="16">
        <v>2006.7</v>
      </c>
    </row>
    <row r="338" spans="1:4" ht="25.5" hidden="1">
      <c r="A338" s="48" t="s">
        <v>23</v>
      </c>
      <c r="B338" s="4" t="s">
        <v>51</v>
      </c>
      <c r="C338" s="16"/>
      <c r="D338" s="16"/>
    </row>
    <row r="339" spans="1:4" ht="38.25">
      <c r="A339" s="40" t="s">
        <v>212</v>
      </c>
      <c r="B339" s="4" t="s">
        <v>54</v>
      </c>
      <c r="C339" s="16">
        <v>64.6</v>
      </c>
      <c r="D339" s="16">
        <v>64.6</v>
      </c>
    </row>
    <row r="340" spans="1:4" ht="38.25" customHeight="1" hidden="1">
      <c r="A340" s="73" t="s">
        <v>174</v>
      </c>
      <c r="B340" s="4" t="s">
        <v>51</v>
      </c>
      <c r="C340" s="16"/>
      <c r="D340" s="16"/>
    </row>
    <row r="341" spans="1:4" ht="12.75" hidden="1">
      <c r="A341" s="74"/>
      <c r="B341" s="4" t="s">
        <v>54</v>
      </c>
      <c r="C341" s="16"/>
      <c r="D341" s="16"/>
    </row>
    <row r="342" spans="1:4" ht="12.75" hidden="1">
      <c r="A342" s="73" t="s">
        <v>178</v>
      </c>
      <c r="B342" s="4" t="s">
        <v>54</v>
      </c>
      <c r="C342" s="16"/>
      <c r="D342" s="16"/>
    </row>
    <row r="343" spans="1:4" ht="25.5" hidden="1">
      <c r="A343" s="74"/>
      <c r="B343" s="4" t="s">
        <v>51</v>
      </c>
      <c r="C343" s="16"/>
      <c r="D343" s="16"/>
    </row>
    <row r="344" spans="1:4" ht="33.75" customHeight="1">
      <c r="A344" s="89" t="s">
        <v>44</v>
      </c>
      <c r="B344" s="5" t="s">
        <v>50</v>
      </c>
      <c r="C344" s="20">
        <f>C345+C346</f>
        <v>14005.4</v>
      </c>
      <c r="D344" s="20">
        <f>D345+D346</f>
        <v>14005.4</v>
      </c>
    </row>
    <row r="345" spans="1:4" ht="25.5">
      <c r="A345" s="89"/>
      <c r="B345" s="5" t="s">
        <v>51</v>
      </c>
      <c r="C345" s="20">
        <f>C348+C349</f>
        <v>14005.4</v>
      </c>
      <c r="D345" s="20">
        <f>D348+D349</f>
        <v>14005.4</v>
      </c>
    </row>
    <row r="346" spans="1:4" ht="38.25" hidden="1">
      <c r="A346" s="89"/>
      <c r="B346" s="5" t="s">
        <v>56</v>
      </c>
      <c r="C346" s="20">
        <f>C347</f>
        <v>0</v>
      </c>
      <c r="D346" s="20">
        <f>D347</f>
        <v>0</v>
      </c>
    </row>
    <row r="347" spans="1:4" ht="12.75" hidden="1">
      <c r="A347" s="54"/>
      <c r="B347" s="5" t="s">
        <v>54</v>
      </c>
      <c r="C347" s="20">
        <f>C350</f>
        <v>0</v>
      </c>
      <c r="D347" s="20">
        <f>D350</f>
        <v>0</v>
      </c>
    </row>
    <row r="348" spans="1:4" ht="38.25">
      <c r="A348" s="48" t="s">
        <v>175</v>
      </c>
      <c r="B348" s="4" t="s">
        <v>51</v>
      </c>
      <c r="C348" s="16">
        <v>14005.4</v>
      </c>
      <c r="D348" s="16">
        <v>14005.4</v>
      </c>
    </row>
    <row r="349" spans="1:4" ht="75.75" customHeight="1" hidden="1">
      <c r="A349" s="73" t="s">
        <v>166</v>
      </c>
      <c r="B349" s="4" t="s">
        <v>51</v>
      </c>
      <c r="C349" s="16"/>
      <c r="D349" s="16"/>
    </row>
    <row r="350" spans="1:4" ht="12.75" hidden="1">
      <c r="A350" s="74"/>
      <c r="B350" s="4" t="s">
        <v>54</v>
      </c>
      <c r="C350" s="16"/>
      <c r="D350" s="16"/>
    </row>
    <row r="351" spans="1:4" ht="33.75" customHeight="1">
      <c r="A351" s="77" t="s">
        <v>45</v>
      </c>
      <c r="B351" s="5" t="s">
        <v>50</v>
      </c>
      <c r="C351" s="20">
        <f>C352+C353</f>
        <v>73029.70000000001</v>
      </c>
      <c r="D351" s="20">
        <f>D352+D353</f>
        <v>73029.70000000001</v>
      </c>
    </row>
    <row r="352" spans="1:4" ht="25.5">
      <c r="A352" s="78"/>
      <c r="B352" s="5" t="s">
        <v>51</v>
      </c>
      <c r="C352" s="20">
        <f>C360+C362+C363+C364+C365+C361+C366</f>
        <v>2011.8000000000002</v>
      </c>
      <c r="D352" s="20">
        <f>D360+D361+D362+D363+D364+D365</f>
        <v>2011.8000000000002</v>
      </c>
    </row>
    <row r="353" spans="1:4" ht="38.25">
      <c r="A353" s="78"/>
      <c r="B353" s="5" t="s">
        <v>56</v>
      </c>
      <c r="C353" s="20">
        <f>C354</f>
        <v>71017.90000000001</v>
      </c>
      <c r="D353" s="20">
        <f>D354</f>
        <v>71017.90000000001</v>
      </c>
    </row>
    <row r="354" spans="1:4" ht="12.75">
      <c r="A354" s="79"/>
      <c r="B354" s="5" t="s">
        <v>54</v>
      </c>
      <c r="C354" s="20">
        <f>C367+C355+C356+C357+C358+C359</f>
        <v>71017.90000000001</v>
      </c>
      <c r="D354" s="20">
        <f>D355+D356+D357+D358+D359+D367</f>
        <v>71017.90000000001</v>
      </c>
    </row>
    <row r="355" spans="1:4" ht="89.25">
      <c r="A355" s="68" t="s">
        <v>245</v>
      </c>
      <c r="B355" s="4" t="s">
        <v>54</v>
      </c>
      <c r="C355" s="23">
        <v>56300</v>
      </c>
      <c r="D355" s="23">
        <v>56300</v>
      </c>
    </row>
    <row r="356" spans="1:4" ht="89.25" hidden="1">
      <c r="A356" s="68" t="s">
        <v>246</v>
      </c>
      <c r="B356" s="4" t="s">
        <v>54</v>
      </c>
      <c r="C356" s="16">
        <v>0</v>
      </c>
      <c r="D356" s="16">
        <v>0</v>
      </c>
    </row>
    <row r="357" spans="1:4" ht="89.25">
      <c r="A357" s="68" t="s">
        <v>247</v>
      </c>
      <c r="B357" s="4" t="s">
        <v>54</v>
      </c>
      <c r="C357" s="16">
        <v>5855.4</v>
      </c>
      <c r="D357" s="16">
        <v>5855.4</v>
      </c>
    </row>
    <row r="358" spans="1:4" ht="89.25">
      <c r="A358" s="68" t="s">
        <v>248</v>
      </c>
      <c r="B358" s="4" t="s">
        <v>54</v>
      </c>
      <c r="C358" s="16">
        <v>8241.2</v>
      </c>
      <c r="D358" s="16">
        <v>8241.2</v>
      </c>
    </row>
    <row r="359" spans="1:4" ht="89.25">
      <c r="A359" s="68" t="s">
        <v>249</v>
      </c>
      <c r="B359" s="4" t="s">
        <v>54</v>
      </c>
      <c r="C359" s="16">
        <v>621.3</v>
      </c>
      <c r="D359" s="16">
        <v>621.3</v>
      </c>
    </row>
    <row r="360" spans="1:4" ht="51">
      <c r="A360" s="48" t="s">
        <v>213</v>
      </c>
      <c r="B360" s="4" t="s">
        <v>51</v>
      </c>
      <c r="C360" s="16">
        <v>328.5</v>
      </c>
      <c r="D360" s="16">
        <v>328.5</v>
      </c>
    </row>
    <row r="361" spans="1:4" ht="51" hidden="1">
      <c r="A361" s="48" t="s">
        <v>176</v>
      </c>
      <c r="B361" s="4" t="s">
        <v>51</v>
      </c>
      <c r="C361" s="16"/>
      <c r="D361" s="16"/>
    </row>
    <row r="362" spans="1:4" ht="38.25">
      <c r="A362" s="48" t="s">
        <v>177</v>
      </c>
      <c r="B362" s="4" t="s">
        <v>51</v>
      </c>
      <c r="C362" s="16">
        <v>747.7</v>
      </c>
      <c r="D362" s="16">
        <v>747.7</v>
      </c>
    </row>
    <row r="363" spans="1:4" ht="51" hidden="1">
      <c r="A363" s="48" t="s">
        <v>192</v>
      </c>
      <c r="B363" s="4" t="s">
        <v>51</v>
      </c>
      <c r="C363" s="16"/>
      <c r="D363" s="16"/>
    </row>
    <row r="364" spans="1:4" ht="38.25">
      <c r="A364" s="48" t="s">
        <v>193</v>
      </c>
      <c r="B364" s="4" t="s">
        <v>51</v>
      </c>
      <c r="C364" s="16">
        <v>3</v>
      </c>
      <c r="D364" s="16">
        <v>3</v>
      </c>
    </row>
    <row r="365" spans="1:4" ht="51">
      <c r="A365" s="48" t="s">
        <v>194</v>
      </c>
      <c r="B365" s="4" t="s">
        <v>51</v>
      </c>
      <c r="C365" s="16">
        <v>932.6</v>
      </c>
      <c r="D365" s="16">
        <v>932.6</v>
      </c>
    </row>
    <row r="366" spans="1:4" ht="51" hidden="1">
      <c r="A366" s="48" t="s">
        <v>264</v>
      </c>
      <c r="B366" s="4" t="s">
        <v>51</v>
      </c>
      <c r="C366" s="16"/>
      <c r="D366" s="16"/>
    </row>
    <row r="367" spans="1:4" ht="51.75" customHeight="1" hidden="1">
      <c r="A367" s="48" t="s">
        <v>195</v>
      </c>
      <c r="B367" s="4" t="s">
        <v>54</v>
      </c>
      <c r="C367" s="16"/>
      <c r="D367" s="16"/>
    </row>
    <row r="368" spans="1:4" ht="33.75" customHeight="1">
      <c r="A368" s="89" t="s">
        <v>46</v>
      </c>
      <c r="B368" s="5" t="s">
        <v>50</v>
      </c>
      <c r="C368" s="20">
        <f>C369</f>
        <v>1088.4</v>
      </c>
      <c r="D368" s="20">
        <f>D369</f>
        <v>1088.4</v>
      </c>
    </row>
    <row r="369" spans="1:4" ht="25.5">
      <c r="A369" s="89"/>
      <c r="B369" s="5" t="s">
        <v>51</v>
      </c>
      <c r="C369" s="20">
        <f>C371</f>
        <v>1088.4</v>
      </c>
      <c r="D369" s="20">
        <f>D371</f>
        <v>1088.4</v>
      </c>
    </row>
    <row r="370" spans="1:4" ht="38.25">
      <c r="A370" s="89"/>
      <c r="B370" s="5" t="s">
        <v>56</v>
      </c>
      <c r="C370" s="20">
        <v>0</v>
      </c>
      <c r="D370" s="20">
        <v>0</v>
      </c>
    </row>
    <row r="371" spans="1:4" ht="25.5">
      <c r="A371" s="48" t="s">
        <v>24</v>
      </c>
      <c r="B371" s="4" t="s">
        <v>51</v>
      </c>
      <c r="C371" s="16">
        <v>1088.4</v>
      </c>
      <c r="D371" s="16">
        <v>1088.4</v>
      </c>
    </row>
    <row r="372" spans="1:4" ht="33.75" customHeight="1" hidden="1">
      <c r="A372" s="89" t="s">
        <v>47</v>
      </c>
      <c r="B372" s="5" t="s">
        <v>50</v>
      </c>
      <c r="C372" s="20">
        <f>C373</f>
        <v>0</v>
      </c>
      <c r="D372" s="20">
        <f>D373</f>
        <v>0</v>
      </c>
    </row>
    <row r="373" spans="1:4" ht="25.5" hidden="1">
      <c r="A373" s="89"/>
      <c r="B373" s="5" t="s">
        <v>51</v>
      </c>
      <c r="C373" s="20">
        <f>C375+C376</f>
        <v>0</v>
      </c>
      <c r="D373" s="20">
        <f>D375+D376</f>
        <v>0</v>
      </c>
    </row>
    <row r="374" spans="1:4" ht="38.25" hidden="1">
      <c r="A374" s="89"/>
      <c r="B374" s="5" t="s">
        <v>56</v>
      </c>
      <c r="C374" s="20">
        <v>0</v>
      </c>
      <c r="D374" s="20">
        <v>0</v>
      </c>
    </row>
    <row r="375" spans="1:4" ht="38.25" hidden="1">
      <c r="A375" s="48" t="s">
        <v>99</v>
      </c>
      <c r="B375" s="4" t="s">
        <v>51</v>
      </c>
      <c r="C375" s="16">
        <v>0</v>
      </c>
      <c r="D375" s="16">
        <v>0</v>
      </c>
    </row>
    <row r="376" spans="1:4" ht="25.5" hidden="1">
      <c r="A376" s="48" t="s">
        <v>232</v>
      </c>
      <c r="B376" s="4" t="s">
        <v>51</v>
      </c>
      <c r="C376" s="16"/>
      <c r="D376" s="16"/>
    </row>
    <row r="377" spans="1:4" ht="38.25" customHeight="1">
      <c r="A377" s="80" t="s">
        <v>90</v>
      </c>
      <c r="B377" s="3" t="s">
        <v>50</v>
      </c>
      <c r="C377" s="14">
        <f>C378+C379</f>
        <v>34826.3</v>
      </c>
      <c r="D377" s="14">
        <f>D378+D379</f>
        <v>34825.3</v>
      </c>
    </row>
    <row r="378" spans="1:4" ht="25.5">
      <c r="A378" s="81"/>
      <c r="B378" s="3" t="s">
        <v>51</v>
      </c>
      <c r="C378" s="14">
        <f>C384+C390+C393+C388+C383+C403</f>
        <v>4370</v>
      </c>
      <c r="D378" s="14">
        <f>D384+D390+D393+D388+D383+D403</f>
        <v>4369</v>
      </c>
    </row>
    <row r="379" spans="1:4" ht="51">
      <c r="A379" s="81"/>
      <c r="B379" s="3" t="s">
        <v>101</v>
      </c>
      <c r="C379" s="14">
        <f>C380+C381+C382</f>
        <v>30456.3</v>
      </c>
      <c r="D379" s="14">
        <f>D380+D381+D382</f>
        <v>30456.3</v>
      </c>
    </row>
    <row r="380" spans="1:10" ht="12.75">
      <c r="A380" s="81"/>
      <c r="B380" s="3" t="s">
        <v>52</v>
      </c>
      <c r="C380" s="14">
        <f>C386+C389+C391+C394+C385</f>
        <v>0</v>
      </c>
      <c r="D380" s="14">
        <f>D386+D389+D391+D394+D385</f>
        <v>0</v>
      </c>
      <c r="J380" s="66"/>
    </row>
    <row r="381" spans="1:4" ht="12.75">
      <c r="A381" s="81"/>
      <c r="B381" s="3" t="s">
        <v>54</v>
      </c>
      <c r="C381" s="14">
        <f>C402+C387+C392+C395</f>
        <v>4873</v>
      </c>
      <c r="D381" s="14">
        <f>D402+D387+D392+D395</f>
        <v>4873</v>
      </c>
    </row>
    <row r="382" spans="1:4" ht="25.5">
      <c r="A382" s="82"/>
      <c r="B382" s="3" t="s">
        <v>143</v>
      </c>
      <c r="C382" s="14">
        <f>C401</f>
        <v>25583.3</v>
      </c>
      <c r="D382" s="14">
        <f>D401</f>
        <v>25583.3</v>
      </c>
    </row>
    <row r="383" spans="1:4" ht="48.75" customHeight="1" hidden="1">
      <c r="A383" s="56" t="s">
        <v>222</v>
      </c>
      <c r="B383" s="10" t="s">
        <v>51</v>
      </c>
      <c r="C383" s="23"/>
      <c r="D383" s="23"/>
    </row>
    <row r="384" spans="1:4" ht="35.25" customHeight="1" hidden="1">
      <c r="A384" s="49" t="s">
        <v>25</v>
      </c>
      <c r="B384" s="10" t="s">
        <v>51</v>
      </c>
      <c r="C384" s="21"/>
      <c r="D384" s="21"/>
    </row>
    <row r="385" spans="1:4" ht="78.75" customHeight="1" hidden="1">
      <c r="A385" s="72" t="s">
        <v>254</v>
      </c>
      <c r="B385" s="10" t="s">
        <v>52</v>
      </c>
      <c r="C385" s="21"/>
      <c r="D385" s="21"/>
    </row>
    <row r="386" spans="1:4" ht="16.5" customHeight="1" hidden="1">
      <c r="A386" s="103" t="s">
        <v>26</v>
      </c>
      <c r="B386" s="10" t="s">
        <v>52</v>
      </c>
      <c r="C386" s="21"/>
      <c r="D386" s="21"/>
    </row>
    <row r="387" spans="1:4" ht="37.5" customHeight="1" hidden="1">
      <c r="A387" s="104"/>
      <c r="B387" s="10" t="s">
        <v>54</v>
      </c>
      <c r="C387" s="21"/>
      <c r="D387" s="21"/>
    </row>
    <row r="388" spans="1:4" ht="37.5" customHeight="1" hidden="1">
      <c r="A388" s="94"/>
      <c r="B388" s="10" t="s">
        <v>51</v>
      </c>
      <c r="C388" s="21"/>
      <c r="D388" s="21"/>
    </row>
    <row r="389" spans="1:10" ht="38.25" hidden="1">
      <c r="A389" s="49" t="s">
        <v>27</v>
      </c>
      <c r="B389" s="10" t="s">
        <v>52</v>
      </c>
      <c r="C389" s="21"/>
      <c r="D389" s="21"/>
      <c r="F389" s="58">
        <v>11578803</v>
      </c>
      <c r="J389" s="66"/>
    </row>
    <row r="390" spans="1:4" ht="25.5" hidden="1">
      <c r="A390" s="92" t="s">
        <v>157</v>
      </c>
      <c r="B390" s="10" t="s">
        <v>51</v>
      </c>
      <c r="C390" s="21"/>
      <c r="D390" s="21"/>
    </row>
    <row r="391" spans="1:10" ht="12.75" hidden="1">
      <c r="A391" s="93"/>
      <c r="B391" s="10" t="s">
        <v>52</v>
      </c>
      <c r="C391" s="21"/>
      <c r="D391" s="21"/>
      <c r="E391" s="62"/>
      <c r="F391" s="62">
        <v>173792.44</v>
      </c>
      <c r="G391" s="62"/>
      <c r="H391" s="62"/>
      <c r="J391" s="66"/>
    </row>
    <row r="392" spans="1:4" ht="21" customHeight="1" hidden="1">
      <c r="A392" s="94"/>
      <c r="B392" s="10" t="s">
        <v>54</v>
      </c>
      <c r="C392" s="21"/>
      <c r="D392" s="21"/>
    </row>
    <row r="393" spans="1:4" ht="48" customHeight="1" hidden="1">
      <c r="A393" s="92" t="s">
        <v>221</v>
      </c>
      <c r="B393" s="10" t="s">
        <v>51</v>
      </c>
      <c r="C393" s="21"/>
      <c r="D393" s="21"/>
    </row>
    <row r="394" spans="1:10" ht="48" customHeight="1" hidden="1">
      <c r="A394" s="96"/>
      <c r="B394" s="10" t="s">
        <v>52</v>
      </c>
      <c r="C394" s="21"/>
      <c r="D394" s="21"/>
      <c r="J394" s="66"/>
    </row>
    <row r="395" spans="1:4" ht="42" customHeight="1" hidden="1">
      <c r="A395" s="49" t="s">
        <v>158</v>
      </c>
      <c r="B395" s="10" t="s">
        <v>54</v>
      </c>
      <c r="C395" s="21"/>
      <c r="D395" s="21"/>
    </row>
    <row r="396" spans="1:6" ht="48" customHeight="1">
      <c r="A396" s="100" t="s">
        <v>191</v>
      </c>
      <c r="B396" s="27" t="s">
        <v>50</v>
      </c>
      <c r="C396" s="28">
        <f>C398+C397</f>
        <v>34826.3</v>
      </c>
      <c r="D396" s="28">
        <f>D398+D397</f>
        <v>34825.3</v>
      </c>
      <c r="E396" s="58">
        <v>133286676.97</v>
      </c>
      <c r="F396" s="58">
        <v>59310167.77</v>
      </c>
    </row>
    <row r="397" spans="1:4" ht="25.5">
      <c r="A397" s="101"/>
      <c r="B397" s="38" t="s">
        <v>51</v>
      </c>
      <c r="C397" s="28">
        <f>C403</f>
        <v>4370</v>
      </c>
      <c r="D397" s="28">
        <f>D403</f>
        <v>4369</v>
      </c>
    </row>
    <row r="398" spans="1:4" ht="38.25">
      <c r="A398" s="101"/>
      <c r="B398" s="27" t="s">
        <v>56</v>
      </c>
      <c r="C398" s="28">
        <f>C399+C400</f>
        <v>30456.3</v>
      </c>
      <c r="D398" s="28">
        <f>D399+D400</f>
        <v>30456.3</v>
      </c>
    </row>
    <row r="399" spans="1:4" ht="12.75">
      <c r="A399" s="101"/>
      <c r="B399" s="27" t="s">
        <v>54</v>
      </c>
      <c r="C399" s="28">
        <f>C402</f>
        <v>4873</v>
      </c>
      <c r="D399" s="28">
        <f>D402</f>
        <v>4873</v>
      </c>
    </row>
    <row r="400" spans="1:4" ht="25.5">
      <c r="A400" s="102"/>
      <c r="B400" s="27" t="s">
        <v>143</v>
      </c>
      <c r="C400" s="28">
        <f>C401</f>
        <v>25583.3</v>
      </c>
      <c r="D400" s="28">
        <f>D401</f>
        <v>25583.3</v>
      </c>
    </row>
    <row r="401" spans="1:4" ht="33" customHeight="1">
      <c r="A401" s="92" t="s">
        <v>100</v>
      </c>
      <c r="B401" s="10" t="s">
        <v>143</v>
      </c>
      <c r="C401" s="21">
        <v>25583.3</v>
      </c>
      <c r="D401" s="21">
        <v>25583.3</v>
      </c>
    </row>
    <row r="402" spans="1:4" ht="25.5" customHeight="1">
      <c r="A402" s="93"/>
      <c r="B402" s="10" t="s">
        <v>54</v>
      </c>
      <c r="C402" s="21">
        <v>4873</v>
      </c>
      <c r="D402" s="21">
        <v>4873</v>
      </c>
    </row>
    <row r="403" spans="1:4" ht="28.5" customHeight="1">
      <c r="A403" s="96"/>
      <c r="B403" s="10" t="s">
        <v>51</v>
      </c>
      <c r="C403" s="21">
        <v>4370</v>
      </c>
      <c r="D403" s="21">
        <v>4369</v>
      </c>
    </row>
    <row r="404" spans="1:5" ht="38.25" customHeight="1">
      <c r="A404" s="95" t="s">
        <v>91</v>
      </c>
      <c r="B404" s="3" t="s">
        <v>50</v>
      </c>
      <c r="C404" s="14">
        <f>C405+C406</f>
        <v>3052.8</v>
      </c>
      <c r="D404" s="14">
        <f>D405+D406</f>
        <v>3052.8</v>
      </c>
      <c r="E404" s="58">
        <v>0.1</v>
      </c>
    </row>
    <row r="405" spans="1:4" ht="60" customHeight="1">
      <c r="A405" s="95"/>
      <c r="B405" s="3" t="s">
        <v>51</v>
      </c>
      <c r="C405" s="14">
        <f>C407+C408+C409+C410+C411+C412+C413</f>
        <v>3052.8</v>
      </c>
      <c r="D405" s="14">
        <f>D407+D408+D409+D410+D411+D412</f>
        <v>3052.8</v>
      </c>
    </row>
    <row r="406" spans="1:4" ht="38.25" hidden="1">
      <c r="A406" s="95"/>
      <c r="B406" s="3" t="s">
        <v>56</v>
      </c>
      <c r="C406" s="14">
        <v>0</v>
      </c>
      <c r="D406" s="14">
        <v>0</v>
      </c>
    </row>
    <row r="407" spans="1:4" ht="25.5">
      <c r="A407" s="48" t="s">
        <v>92</v>
      </c>
      <c r="B407" s="4" t="s">
        <v>51</v>
      </c>
      <c r="C407" s="16">
        <v>159.2</v>
      </c>
      <c r="D407" s="16">
        <v>159.2</v>
      </c>
    </row>
    <row r="408" spans="1:4" ht="25.5">
      <c r="A408" s="48" t="s">
        <v>93</v>
      </c>
      <c r="B408" s="4" t="s">
        <v>51</v>
      </c>
      <c r="C408" s="16">
        <v>11.6</v>
      </c>
      <c r="D408" s="16">
        <v>11.6</v>
      </c>
    </row>
    <row r="409" spans="1:4" ht="25.5">
      <c r="A409" s="48" t="s">
        <v>28</v>
      </c>
      <c r="B409" s="4" t="s">
        <v>51</v>
      </c>
      <c r="C409" s="16">
        <v>2852.5</v>
      </c>
      <c r="D409" s="16">
        <v>2852.5</v>
      </c>
    </row>
    <row r="410" spans="1:4" ht="25.5">
      <c r="A410" s="48" t="s">
        <v>214</v>
      </c>
      <c r="B410" s="4" t="s">
        <v>51</v>
      </c>
      <c r="C410" s="16">
        <v>29.5</v>
      </c>
      <c r="D410" s="16">
        <v>29.5</v>
      </c>
    </row>
    <row r="411" spans="1:4" ht="25.5" hidden="1">
      <c r="A411" s="40" t="s">
        <v>183</v>
      </c>
      <c r="B411" s="4" t="s">
        <v>51</v>
      </c>
      <c r="C411" s="16"/>
      <c r="D411" s="16"/>
    </row>
    <row r="412" spans="1:4" ht="38.25" hidden="1">
      <c r="A412" s="40" t="s">
        <v>224</v>
      </c>
      <c r="B412" s="4" t="s">
        <v>51</v>
      </c>
      <c r="C412" s="16"/>
      <c r="D412" s="16"/>
    </row>
    <row r="413" spans="1:4" ht="51" hidden="1">
      <c r="A413" s="40" t="s">
        <v>250</v>
      </c>
      <c r="B413" s="4" t="s">
        <v>51</v>
      </c>
      <c r="C413" s="16"/>
      <c r="D413" s="16"/>
    </row>
    <row r="414" spans="1:4" ht="29.25" customHeight="1">
      <c r="A414" s="80" t="s">
        <v>154</v>
      </c>
      <c r="B414" s="3" t="s">
        <v>50</v>
      </c>
      <c r="C414" s="14">
        <f>C415+C417</f>
        <v>44.7</v>
      </c>
      <c r="D414" s="14">
        <f>D415+D417</f>
        <v>44.7</v>
      </c>
    </row>
    <row r="415" spans="1:4" ht="21.75" customHeight="1">
      <c r="A415" s="81"/>
      <c r="B415" s="87" t="s">
        <v>51</v>
      </c>
      <c r="C415" s="75">
        <f>C421+C422+C424</f>
        <v>44.7</v>
      </c>
      <c r="D415" s="75">
        <f>D421+D422+D424</f>
        <v>44.7</v>
      </c>
    </row>
    <row r="416" spans="1:4" ht="12.75">
      <c r="A416" s="81"/>
      <c r="B416" s="88"/>
      <c r="C416" s="76"/>
      <c r="D416" s="76"/>
    </row>
    <row r="417" spans="1:4" ht="56.25" customHeight="1" hidden="1">
      <c r="A417" s="90"/>
      <c r="B417" s="3" t="s">
        <v>101</v>
      </c>
      <c r="C417" s="18">
        <f>C418+C419+C420</f>
        <v>0</v>
      </c>
      <c r="D417" s="18">
        <f>D418+D419+D420</f>
        <v>0</v>
      </c>
    </row>
    <row r="418" spans="1:4" ht="13.5" customHeight="1" hidden="1">
      <c r="A418" s="90"/>
      <c r="B418" s="3" t="s">
        <v>52</v>
      </c>
      <c r="C418" s="18">
        <f>C429+C432</f>
        <v>0</v>
      </c>
      <c r="D418" s="18">
        <f>D429+D432</f>
        <v>0</v>
      </c>
    </row>
    <row r="419" spans="1:4" ht="18.75" customHeight="1" hidden="1">
      <c r="A419" s="90"/>
      <c r="B419" s="3" t="s">
        <v>54</v>
      </c>
      <c r="C419" s="18">
        <f>C430+C433</f>
        <v>0</v>
      </c>
      <c r="D419" s="18">
        <f>D430+D433</f>
        <v>0</v>
      </c>
    </row>
    <row r="420" spans="1:4" ht="30" customHeight="1" hidden="1">
      <c r="A420" s="91"/>
      <c r="B420" s="3" t="s">
        <v>165</v>
      </c>
      <c r="C420" s="18">
        <v>0</v>
      </c>
      <c r="D420" s="18">
        <v>0</v>
      </c>
    </row>
    <row r="421" spans="1:4" ht="42" customHeight="1" hidden="1">
      <c r="A421" s="51" t="s">
        <v>179</v>
      </c>
      <c r="B421" s="4" t="s">
        <v>51</v>
      </c>
      <c r="C421" s="24"/>
      <c r="D421" s="23"/>
    </row>
    <row r="422" spans="1:4" ht="39" customHeight="1">
      <c r="A422" s="51" t="s">
        <v>230</v>
      </c>
      <c r="B422" s="4" t="s">
        <v>51</v>
      </c>
      <c r="C422" s="24">
        <v>44.7</v>
      </c>
      <c r="D422" s="24">
        <v>44.7</v>
      </c>
    </row>
    <row r="423" spans="1:6" ht="40.5" customHeight="1" hidden="1">
      <c r="A423" s="97" t="s">
        <v>187</v>
      </c>
      <c r="B423" s="27" t="s">
        <v>50</v>
      </c>
      <c r="C423" s="29">
        <f>C424+C425</f>
        <v>0</v>
      </c>
      <c r="D423" s="29">
        <f>D424+D425</f>
        <v>0</v>
      </c>
      <c r="E423" s="58">
        <v>16535400</v>
      </c>
      <c r="F423" s="58">
        <v>16535400</v>
      </c>
    </row>
    <row r="424" spans="1:4" ht="33" customHeight="1" hidden="1">
      <c r="A424" s="98"/>
      <c r="B424" s="27" t="s">
        <v>51</v>
      </c>
      <c r="C424" s="29">
        <f>C428+C431</f>
        <v>0</v>
      </c>
      <c r="D424" s="29">
        <f>D428+D431</f>
        <v>0</v>
      </c>
    </row>
    <row r="425" spans="1:4" ht="59.25" customHeight="1" hidden="1">
      <c r="A425" s="98"/>
      <c r="B425" s="27" t="s">
        <v>101</v>
      </c>
      <c r="C425" s="29">
        <f>C426+C427</f>
        <v>0</v>
      </c>
      <c r="D425" s="29">
        <f>D426+D427</f>
        <v>0</v>
      </c>
    </row>
    <row r="426" spans="1:35" ht="15.75" customHeight="1" hidden="1">
      <c r="A426" s="98"/>
      <c r="B426" s="27" t="s">
        <v>52</v>
      </c>
      <c r="C426" s="29">
        <f>C429+C432</f>
        <v>0</v>
      </c>
      <c r="D426" s="29">
        <f>D429+D432</f>
        <v>0</v>
      </c>
      <c r="E426" s="62"/>
      <c r="F426" s="62"/>
      <c r="G426" s="62"/>
      <c r="H426" s="62"/>
      <c r="AI426" s="63"/>
    </row>
    <row r="427" spans="1:4" ht="12.75" customHeight="1" hidden="1">
      <c r="A427" s="99"/>
      <c r="B427" s="27" t="s">
        <v>54</v>
      </c>
      <c r="C427" s="29">
        <f>C430+C433</f>
        <v>0</v>
      </c>
      <c r="D427" s="29">
        <f>D430+D433</f>
        <v>0</v>
      </c>
    </row>
    <row r="428" spans="1:4" ht="25.5" hidden="1">
      <c r="A428" s="73" t="s">
        <v>155</v>
      </c>
      <c r="B428" s="4" t="s">
        <v>51</v>
      </c>
      <c r="C428" s="21"/>
      <c r="D428" s="21"/>
    </row>
    <row r="429" spans="1:4" ht="12.75" hidden="1">
      <c r="A429" s="86"/>
      <c r="B429" s="4" t="s">
        <v>52</v>
      </c>
      <c r="C429" s="26"/>
      <c r="D429" s="21"/>
    </row>
    <row r="430" spans="1:4" ht="12.75" hidden="1">
      <c r="A430" s="86"/>
      <c r="B430" s="4" t="s">
        <v>54</v>
      </c>
      <c r="C430" s="26"/>
      <c r="D430" s="21"/>
    </row>
    <row r="431" spans="1:4" ht="25.5" hidden="1">
      <c r="A431" s="73" t="s">
        <v>156</v>
      </c>
      <c r="B431" s="4" t="s">
        <v>51</v>
      </c>
      <c r="C431" s="21"/>
      <c r="D431" s="21"/>
    </row>
    <row r="432" spans="1:4" ht="12.75" hidden="1">
      <c r="A432" s="86"/>
      <c r="B432" s="4" t="s">
        <v>52</v>
      </c>
      <c r="C432" s="26"/>
      <c r="D432" s="21"/>
    </row>
    <row r="433" spans="1:4" ht="12.75" hidden="1">
      <c r="A433" s="74"/>
      <c r="B433" s="4" t="s">
        <v>54</v>
      </c>
      <c r="C433" s="26"/>
      <c r="D433" s="21"/>
    </row>
    <row r="434" spans="1:4" ht="38.25" customHeight="1">
      <c r="A434" s="95" t="s">
        <v>94</v>
      </c>
      <c r="B434" s="3" t="s">
        <v>50</v>
      </c>
      <c r="C434" s="14">
        <f>C435+C436</f>
        <v>3.5</v>
      </c>
      <c r="D434" s="14">
        <f>D435+D436</f>
        <v>3.5</v>
      </c>
    </row>
    <row r="435" spans="1:4" ht="26.25" customHeight="1">
      <c r="A435" s="95"/>
      <c r="B435" s="87" t="s">
        <v>51</v>
      </c>
      <c r="C435" s="75">
        <f>C438+C437</f>
        <v>3.5</v>
      </c>
      <c r="D435" s="75">
        <f>D438+D437</f>
        <v>3.5</v>
      </c>
    </row>
    <row r="436" spans="1:4" ht="12.75">
      <c r="A436" s="95"/>
      <c r="B436" s="88"/>
      <c r="C436" s="76"/>
      <c r="D436" s="76"/>
    </row>
    <row r="437" spans="1:4" ht="25.5" hidden="1">
      <c r="A437" s="50" t="s">
        <v>215</v>
      </c>
      <c r="B437" s="4" t="s">
        <v>51</v>
      </c>
      <c r="C437" s="24"/>
      <c r="D437" s="24"/>
    </row>
    <row r="438" spans="1:4" ht="25.5">
      <c r="A438" s="48" t="s">
        <v>29</v>
      </c>
      <c r="B438" s="4" t="s">
        <v>51</v>
      </c>
      <c r="C438" s="16">
        <v>3.5</v>
      </c>
      <c r="D438" s="16">
        <v>3.5</v>
      </c>
    </row>
    <row r="439" spans="1:4" ht="38.25" customHeight="1" hidden="1">
      <c r="A439" s="95" t="s">
        <v>216</v>
      </c>
      <c r="B439" s="3" t="s">
        <v>50</v>
      </c>
      <c r="C439" s="14">
        <f>C440+C441</f>
        <v>0</v>
      </c>
      <c r="D439" s="14">
        <f>D440+D441</f>
        <v>0</v>
      </c>
    </row>
    <row r="440" spans="1:4" ht="26.25" customHeight="1" hidden="1">
      <c r="A440" s="95"/>
      <c r="B440" s="87" t="s">
        <v>51</v>
      </c>
      <c r="C440" s="75">
        <f>C445+C442+C443+C444</f>
        <v>0</v>
      </c>
      <c r="D440" s="75">
        <f>D445+D442+D443+D444</f>
        <v>0</v>
      </c>
    </row>
    <row r="441" spans="1:4" ht="12.75" hidden="1">
      <c r="A441" s="95"/>
      <c r="B441" s="88"/>
      <c r="C441" s="76"/>
      <c r="D441" s="76"/>
    </row>
    <row r="442" spans="1:4" ht="25.5" hidden="1">
      <c r="A442" s="50" t="s">
        <v>217</v>
      </c>
      <c r="B442" s="4" t="s">
        <v>51</v>
      </c>
      <c r="C442" s="24"/>
      <c r="D442" s="24"/>
    </row>
    <row r="443" spans="1:4" ht="25.5" hidden="1">
      <c r="A443" s="48" t="s">
        <v>218</v>
      </c>
      <c r="B443" s="4" t="s">
        <v>51</v>
      </c>
      <c r="C443" s="16"/>
      <c r="D443" s="16"/>
    </row>
    <row r="444" spans="1:4" ht="25.5" hidden="1">
      <c r="A444" s="50" t="s">
        <v>219</v>
      </c>
      <c r="B444" s="4" t="s">
        <v>51</v>
      </c>
      <c r="C444" s="24"/>
      <c r="D444" s="24"/>
    </row>
    <row r="445" spans="1:4" ht="25.5" hidden="1">
      <c r="A445" s="48" t="s">
        <v>220</v>
      </c>
      <c r="B445" s="4" t="s">
        <v>51</v>
      </c>
      <c r="C445" s="16"/>
      <c r="D445" s="16"/>
    </row>
    <row r="446" ht="12.75">
      <c r="B446" s="7"/>
    </row>
    <row r="447" ht="12.75">
      <c r="B447" s="7"/>
    </row>
    <row r="448" ht="12.75">
      <c r="B448" s="7"/>
    </row>
    <row r="450" ht="12.75">
      <c r="E450" s="60"/>
    </row>
  </sheetData>
  <sheetProtection/>
  <mergeCells count="98">
    <mergeCell ref="A121:A122"/>
    <mergeCell ref="B1:D1"/>
    <mergeCell ref="B2:D2"/>
    <mergeCell ref="B3:D3"/>
    <mergeCell ref="B4:D4"/>
    <mergeCell ref="A7:D7"/>
    <mergeCell ref="A8:D8"/>
    <mergeCell ref="A9:D9"/>
    <mergeCell ref="A11:A12"/>
    <mergeCell ref="B11:B12"/>
    <mergeCell ref="C11:D11"/>
    <mergeCell ref="A14:A19"/>
    <mergeCell ref="I17:I18"/>
    <mergeCell ref="A20:A25"/>
    <mergeCell ref="A26:A28"/>
    <mergeCell ref="A33:A35"/>
    <mergeCell ref="A40:A45"/>
    <mergeCell ref="B41:B42"/>
    <mergeCell ref="C41:C42"/>
    <mergeCell ref="D41:D42"/>
    <mergeCell ref="A47:A51"/>
    <mergeCell ref="A52:A54"/>
    <mergeCell ref="A55:A59"/>
    <mergeCell ref="A60:A61"/>
    <mergeCell ref="A62:A64"/>
    <mergeCell ref="B63:B64"/>
    <mergeCell ref="C63:C64"/>
    <mergeCell ref="D63:D64"/>
    <mergeCell ref="A69:A73"/>
    <mergeCell ref="A74:A77"/>
    <mergeCell ref="A107:A108"/>
    <mergeCell ref="A111:A112"/>
    <mergeCell ref="A114:A115"/>
    <mergeCell ref="A117:A118"/>
    <mergeCell ref="A123:A126"/>
    <mergeCell ref="A127:A128"/>
    <mergeCell ref="A129:A133"/>
    <mergeCell ref="A150:A152"/>
    <mergeCell ref="A154:A157"/>
    <mergeCell ref="A162:A165"/>
    <mergeCell ref="A168:A172"/>
    <mergeCell ref="A185:A186"/>
    <mergeCell ref="A188:A189"/>
    <mergeCell ref="A190:A192"/>
    <mergeCell ref="A193:A194"/>
    <mergeCell ref="A195:A199"/>
    <mergeCell ref="A204:A208"/>
    <mergeCell ref="A209:A213"/>
    <mergeCell ref="A238:A241"/>
    <mergeCell ref="A243:A247"/>
    <mergeCell ref="A252:A254"/>
    <mergeCell ref="A255:A257"/>
    <mergeCell ref="A258:A261"/>
    <mergeCell ref="A264:A266"/>
    <mergeCell ref="A272:A275"/>
    <mergeCell ref="A276:A279"/>
    <mergeCell ref="A288:A290"/>
    <mergeCell ref="A293:A296"/>
    <mergeCell ref="A300:A301"/>
    <mergeCell ref="A304:A306"/>
    <mergeCell ref="B305:B306"/>
    <mergeCell ref="C305:C306"/>
    <mergeCell ref="D305:D306"/>
    <mergeCell ref="A311:A313"/>
    <mergeCell ref="A316:A318"/>
    <mergeCell ref="A321:A322"/>
    <mergeCell ref="A323:A324"/>
    <mergeCell ref="A326:A328"/>
    <mergeCell ref="A332:A335"/>
    <mergeCell ref="A340:A341"/>
    <mergeCell ref="A342:A343"/>
    <mergeCell ref="A344:A346"/>
    <mergeCell ref="A349:A350"/>
    <mergeCell ref="A351:A354"/>
    <mergeCell ref="A368:A370"/>
    <mergeCell ref="A372:A374"/>
    <mergeCell ref="A377:A382"/>
    <mergeCell ref="A386:A388"/>
    <mergeCell ref="A390:A392"/>
    <mergeCell ref="A393:A394"/>
    <mergeCell ref="A396:A400"/>
    <mergeCell ref="A401:A403"/>
    <mergeCell ref="A404:A406"/>
    <mergeCell ref="A414:A420"/>
    <mergeCell ref="B415:B416"/>
    <mergeCell ref="C415:C416"/>
    <mergeCell ref="D415:D416"/>
    <mergeCell ref="A423:A427"/>
    <mergeCell ref="A439:A441"/>
    <mergeCell ref="B440:B441"/>
    <mergeCell ref="C440:C441"/>
    <mergeCell ref="D440:D441"/>
    <mergeCell ref="A428:A430"/>
    <mergeCell ref="A431:A433"/>
    <mergeCell ref="A434:A436"/>
    <mergeCell ref="B435:B436"/>
    <mergeCell ref="C435:C436"/>
    <mergeCell ref="D435:D4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1"/>
  <sheetViews>
    <sheetView zoomScalePageLayoutView="0" workbookViewId="0" topLeftCell="A1">
      <selection activeCell="D279" sqref="D279"/>
    </sheetView>
  </sheetViews>
  <sheetFormatPr defaultColWidth="8.875" defaultRowHeight="12.75"/>
  <cols>
    <col min="1" max="1" width="46.625" style="44" customWidth="1"/>
    <col min="2" max="2" width="28.75390625" style="1" customWidth="1"/>
    <col min="3" max="3" width="15.25390625" style="8" customWidth="1"/>
    <col min="4" max="4" width="16.375" style="8" customWidth="1"/>
    <col min="5" max="5" width="21.00390625" style="58" hidden="1" customWidth="1"/>
    <col min="6" max="6" width="16.375" style="58" hidden="1" customWidth="1"/>
    <col min="7" max="7" width="13.00390625" style="58" hidden="1" customWidth="1"/>
    <col min="8" max="8" width="12.625" style="58" hidden="1" customWidth="1"/>
    <col min="9" max="9" width="20.25390625" style="11" customWidth="1"/>
    <col min="10" max="10" width="17.75390625" style="11" customWidth="1"/>
    <col min="11" max="11" width="13.75390625" style="11" customWidth="1"/>
    <col min="12" max="34" width="8.875" style="11" customWidth="1"/>
    <col min="35" max="16384" width="8.875" style="1" customWidth="1"/>
  </cols>
  <sheetData>
    <row r="1" spans="1:4" ht="12.75">
      <c r="A1" s="41"/>
      <c r="B1" s="111" t="s">
        <v>102</v>
      </c>
      <c r="C1" s="111"/>
      <c r="D1" s="111"/>
    </row>
    <row r="2" spans="1:4" ht="12.75">
      <c r="A2" s="41"/>
      <c r="B2" s="111" t="s">
        <v>57</v>
      </c>
      <c r="C2" s="111"/>
      <c r="D2" s="111"/>
    </row>
    <row r="3" spans="1:4" ht="12.75">
      <c r="A3" s="41"/>
      <c r="B3" s="111" t="s">
        <v>58</v>
      </c>
      <c r="C3" s="111"/>
      <c r="D3" s="111"/>
    </row>
    <row r="4" spans="2:4" ht="11.25" customHeight="1">
      <c r="B4" s="111" t="s">
        <v>59</v>
      </c>
      <c r="C4" s="111"/>
      <c r="D4" s="111"/>
    </row>
    <row r="5" ht="5.25" customHeight="1"/>
    <row r="6" ht="4.5" customHeight="1"/>
    <row r="7" spans="1:4" ht="12.75">
      <c r="A7" s="118" t="s">
        <v>48</v>
      </c>
      <c r="B7" s="118"/>
      <c r="C7" s="118"/>
      <c r="D7" s="118"/>
    </row>
    <row r="8" spans="1:4" ht="12.75">
      <c r="A8" s="118" t="s">
        <v>49</v>
      </c>
      <c r="B8" s="118"/>
      <c r="C8" s="118"/>
      <c r="D8" s="118"/>
    </row>
    <row r="9" spans="1:4" ht="12.75">
      <c r="A9" s="118" t="s">
        <v>267</v>
      </c>
      <c r="B9" s="118"/>
      <c r="C9" s="118"/>
      <c r="D9" s="118"/>
    </row>
    <row r="10" ht="0.75" customHeight="1"/>
    <row r="11" spans="1:4" ht="12.75">
      <c r="A11" s="116" t="s">
        <v>197</v>
      </c>
      <c r="B11" s="119" t="s">
        <v>60</v>
      </c>
      <c r="C11" s="117" t="s">
        <v>196</v>
      </c>
      <c r="D11" s="117"/>
    </row>
    <row r="12" spans="1:10" ht="81" customHeight="1">
      <c r="A12" s="116"/>
      <c r="B12" s="119"/>
      <c r="C12" s="2" t="s">
        <v>265</v>
      </c>
      <c r="D12" s="2" t="s">
        <v>266</v>
      </c>
      <c r="E12" s="58">
        <v>1989647362.21</v>
      </c>
      <c r="F12" s="58">
        <v>1885818903.82</v>
      </c>
      <c r="I12" s="71"/>
      <c r="J12" s="71"/>
    </row>
    <row r="13" spans="1:10" ht="12.75">
      <c r="A13" s="45" t="s">
        <v>88</v>
      </c>
      <c r="B13" s="3"/>
      <c r="C13" s="12">
        <f>C26+C33+C40+C62+C69+C169+C205+C273+C305+C312+C378+C405+C415+C435+C196+C440</f>
        <v>1632070.7000000002</v>
      </c>
      <c r="D13" s="12">
        <f>D26+D33+D40+D62+D69+D169+D205+D273+D305+D312+D378+D405+D415+D435+D196+D440</f>
        <v>1515763.25</v>
      </c>
      <c r="E13" s="58">
        <v>1989647.4</v>
      </c>
      <c r="F13" s="58">
        <v>1885518.9</v>
      </c>
      <c r="G13" s="59">
        <f>E13-C13</f>
        <v>357576.6999999997</v>
      </c>
      <c r="H13" s="59">
        <f>F13-D13</f>
        <v>369755.6499999999</v>
      </c>
      <c r="J13" s="66"/>
    </row>
    <row r="14" spans="1:11" ht="30" customHeight="1">
      <c r="A14" s="120"/>
      <c r="B14" s="3" t="s">
        <v>51</v>
      </c>
      <c r="C14" s="12">
        <f>C27+C34+C41+C63+C70+C170+C197+C206+C274+C306+C313+C379+C406+C416+C436+C441</f>
        <v>664291.4</v>
      </c>
      <c r="D14" s="12">
        <f>D27+D34+D41+D63+D70+D170+D197+D206+D274+D306+D313+D379+D406+D416+D436+D441</f>
        <v>622051.7400000001</v>
      </c>
      <c r="I14" s="66"/>
      <c r="K14" s="66"/>
    </row>
    <row r="15" spans="1:11" ht="42.75" customHeight="1">
      <c r="A15" s="121"/>
      <c r="B15" s="3" t="s">
        <v>56</v>
      </c>
      <c r="C15" s="12">
        <f>C28+C35+C43+C71+C171+C198+C207+C275+C314+C380+C407+C418</f>
        <v>967779.2999999999</v>
      </c>
      <c r="D15" s="12">
        <f>D28+D35+D43+D71+D171+D198+D207+D275+D314+D380+D407+D418</f>
        <v>893711.51</v>
      </c>
      <c r="I15" s="66"/>
      <c r="J15" s="66"/>
      <c r="K15" s="66"/>
    </row>
    <row r="16" spans="1:10" ht="13.5" customHeight="1">
      <c r="A16" s="121"/>
      <c r="B16" s="3" t="s">
        <v>52</v>
      </c>
      <c r="C16" s="13">
        <f>C44+C72+C173+C199+C208+C381+C419</f>
        <v>121589</v>
      </c>
      <c r="D16" s="13">
        <f>D44+D72+D173+D199+D208+D381+D419</f>
        <v>112147.34</v>
      </c>
      <c r="E16" s="58">
        <v>69011.1</v>
      </c>
      <c r="F16" s="58">
        <v>66792.5</v>
      </c>
      <c r="G16" s="60">
        <f>E16-C16</f>
        <v>-52577.899999999994</v>
      </c>
      <c r="H16" s="60">
        <f>F16-D16</f>
        <v>-45354.84</v>
      </c>
      <c r="J16" s="60"/>
    </row>
    <row r="17" spans="1:11" ht="13.5" customHeight="1">
      <c r="A17" s="121"/>
      <c r="B17" s="3" t="s">
        <v>54</v>
      </c>
      <c r="C17" s="12">
        <f>C45+C73+C172+C200+C209+C276+C336+C355+C382+C420+C315</f>
        <v>663553.3</v>
      </c>
      <c r="D17" s="12">
        <f>D45+D73+D172+D200+D209+D276+D336+D355+D382+D420+D315</f>
        <v>638580.9699999999</v>
      </c>
      <c r="I17" s="125"/>
      <c r="K17" s="60"/>
    </row>
    <row r="18" spans="1:10" ht="26.25" customHeight="1">
      <c r="A18" s="121"/>
      <c r="B18" s="3" t="s">
        <v>143</v>
      </c>
      <c r="C18" s="12">
        <f>C383</f>
        <v>182637</v>
      </c>
      <c r="D18" s="12">
        <f>D383</f>
        <v>142983.2</v>
      </c>
      <c r="I18" s="126"/>
      <c r="J18" s="66"/>
    </row>
    <row r="19" spans="1:4" ht="30" customHeight="1">
      <c r="A19" s="122"/>
      <c r="B19" s="3" t="s">
        <v>165</v>
      </c>
      <c r="C19" s="12">
        <f>C421</f>
        <v>0</v>
      </c>
      <c r="D19" s="12">
        <f>D421</f>
        <v>0</v>
      </c>
    </row>
    <row r="20" spans="1:8" ht="21" customHeight="1">
      <c r="A20" s="100" t="s">
        <v>188</v>
      </c>
      <c r="B20" s="27" t="s">
        <v>50</v>
      </c>
      <c r="C20" s="30">
        <f>C21+C22</f>
        <v>244440</v>
      </c>
      <c r="D20" s="30">
        <f>D21+D22</f>
        <v>200055.2</v>
      </c>
      <c r="E20" s="58">
        <v>169085.8</v>
      </c>
      <c r="F20" s="58">
        <v>94717.3</v>
      </c>
      <c r="G20" s="60">
        <f>E20-C20</f>
        <v>-75354.20000000001</v>
      </c>
      <c r="H20" s="60">
        <f>F20-D20</f>
        <v>-105337.90000000001</v>
      </c>
    </row>
    <row r="21" spans="1:8" ht="27" customHeight="1">
      <c r="A21" s="101"/>
      <c r="B21" s="27" t="s">
        <v>51</v>
      </c>
      <c r="C21" s="30">
        <f aca="true" t="shared" si="0" ref="C21:H21">C48+C56+C398+C425</f>
        <v>22109.6</v>
      </c>
      <c r="D21" s="30">
        <f t="shared" si="0"/>
        <v>22110.6</v>
      </c>
      <c r="E21" s="30">
        <f t="shared" si="0"/>
        <v>0</v>
      </c>
      <c r="F21" s="30">
        <f t="shared" si="0"/>
        <v>0</v>
      </c>
      <c r="G21" s="30">
        <f t="shared" si="0"/>
        <v>0</v>
      </c>
      <c r="H21" s="30">
        <f t="shared" si="0"/>
        <v>0</v>
      </c>
    </row>
    <row r="22" spans="1:4" ht="24.75" customHeight="1">
      <c r="A22" s="101"/>
      <c r="B22" s="27" t="s">
        <v>56</v>
      </c>
      <c r="C22" s="30">
        <f>C23+C24+C25</f>
        <v>222330.4</v>
      </c>
      <c r="D22" s="30">
        <f>D23+D24+D25</f>
        <v>177944.6</v>
      </c>
    </row>
    <row r="23" spans="1:4" ht="15" customHeight="1">
      <c r="A23" s="101"/>
      <c r="B23" s="27" t="s">
        <v>52</v>
      </c>
      <c r="C23" s="30">
        <f>C50+C58+C125+C242+C255+C427</f>
        <v>18003.7</v>
      </c>
      <c r="D23" s="30">
        <f>D50+D58+D125+D242+D255+D427</f>
        <v>18003.7</v>
      </c>
    </row>
    <row r="24" spans="1:4" ht="14.25" customHeight="1">
      <c r="A24" s="101"/>
      <c r="B24" s="27" t="s">
        <v>54</v>
      </c>
      <c r="C24" s="30">
        <f>C51+C59+C126+C153+C241+C254+C400+C428</f>
        <v>21689.699999999997</v>
      </c>
      <c r="D24" s="30">
        <f>D51+D59+D126+D153+D241+D254+D400+D428</f>
        <v>16957.699999999997</v>
      </c>
    </row>
    <row r="25" spans="1:4" ht="39" customHeight="1">
      <c r="A25" s="102"/>
      <c r="B25" s="27" t="s">
        <v>143</v>
      </c>
      <c r="C25" s="30">
        <f>C401</f>
        <v>182637</v>
      </c>
      <c r="D25" s="30">
        <f>D401</f>
        <v>142983.2</v>
      </c>
    </row>
    <row r="26" spans="1:4" ht="21.75" customHeight="1">
      <c r="A26" s="95" t="s">
        <v>61</v>
      </c>
      <c r="B26" s="3" t="s">
        <v>50</v>
      </c>
      <c r="C26" s="14">
        <f>C27+C28</f>
        <v>811.3</v>
      </c>
      <c r="D26" s="14">
        <f>D27+D28</f>
        <v>762.9</v>
      </c>
    </row>
    <row r="27" spans="1:4" ht="36" customHeight="1">
      <c r="A27" s="95"/>
      <c r="B27" s="3" t="s">
        <v>51</v>
      </c>
      <c r="C27" s="14">
        <f>C29+C30+C31+C32</f>
        <v>811.3</v>
      </c>
      <c r="D27" s="14">
        <f>D29+D30+D31+D32</f>
        <v>762.9</v>
      </c>
    </row>
    <row r="28" spans="1:4" ht="56.25" customHeight="1" hidden="1">
      <c r="A28" s="95"/>
      <c r="B28" s="3" t="s">
        <v>56</v>
      </c>
      <c r="C28" s="14">
        <v>0</v>
      </c>
      <c r="D28" s="14">
        <v>0</v>
      </c>
    </row>
    <row r="29" spans="1:4" ht="25.5">
      <c r="A29" s="46" t="s">
        <v>62</v>
      </c>
      <c r="B29" s="4" t="s">
        <v>51</v>
      </c>
      <c r="C29" s="15">
        <v>7.7</v>
      </c>
      <c r="D29" s="15">
        <v>7.7</v>
      </c>
    </row>
    <row r="30" spans="1:4" ht="38.25">
      <c r="A30" s="46" t="s">
        <v>63</v>
      </c>
      <c r="B30" s="4" t="s">
        <v>51</v>
      </c>
      <c r="C30" s="15">
        <v>48.4</v>
      </c>
      <c r="D30" s="15">
        <v>0</v>
      </c>
    </row>
    <row r="31" spans="1:4" ht="51">
      <c r="A31" s="46" t="s">
        <v>64</v>
      </c>
      <c r="B31" s="4" t="s">
        <v>51</v>
      </c>
      <c r="C31" s="15">
        <v>747.4</v>
      </c>
      <c r="D31" s="15">
        <v>747.4</v>
      </c>
    </row>
    <row r="32" spans="1:4" ht="25.5">
      <c r="A32" s="46" t="s">
        <v>223</v>
      </c>
      <c r="B32" s="4" t="s">
        <v>51</v>
      </c>
      <c r="C32" s="15">
        <v>7.8</v>
      </c>
      <c r="D32" s="15">
        <v>7.8</v>
      </c>
    </row>
    <row r="33" spans="1:4" ht="22.5" customHeight="1">
      <c r="A33" s="95" t="s">
        <v>65</v>
      </c>
      <c r="B33" s="3" t="s">
        <v>50</v>
      </c>
      <c r="C33" s="14">
        <f>C34+C35</f>
        <v>3220.4</v>
      </c>
      <c r="D33" s="14">
        <f>D34+D35</f>
        <v>3169.7999999999997</v>
      </c>
    </row>
    <row r="34" spans="1:4" ht="36" customHeight="1">
      <c r="A34" s="95"/>
      <c r="B34" s="3" t="s">
        <v>51</v>
      </c>
      <c r="C34" s="14">
        <f>C36+C37+C38+C39</f>
        <v>3220.4</v>
      </c>
      <c r="D34" s="14">
        <f>D36+D37+D38+D39</f>
        <v>3169.7999999999997</v>
      </c>
    </row>
    <row r="35" spans="1:4" ht="38.25" hidden="1">
      <c r="A35" s="95"/>
      <c r="B35" s="3" t="s">
        <v>56</v>
      </c>
      <c r="C35" s="14">
        <v>0</v>
      </c>
      <c r="D35" s="14">
        <v>0</v>
      </c>
    </row>
    <row r="36" spans="1:4" ht="25.5">
      <c r="A36" s="46" t="s">
        <v>66</v>
      </c>
      <c r="B36" s="4" t="s">
        <v>51</v>
      </c>
      <c r="C36" s="16">
        <v>54</v>
      </c>
      <c r="D36" s="16">
        <v>54</v>
      </c>
    </row>
    <row r="37" spans="1:4" ht="25.5">
      <c r="A37" s="46" t="s">
        <v>53</v>
      </c>
      <c r="B37" s="4" t="s">
        <v>51</v>
      </c>
      <c r="C37" s="16">
        <v>2986.8</v>
      </c>
      <c r="D37" s="16">
        <f>3000.2-64</f>
        <v>2936.2</v>
      </c>
    </row>
    <row r="38" spans="1:4" ht="25.5">
      <c r="A38" s="46" t="s">
        <v>67</v>
      </c>
      <c r="B38" s="4" t="s">
        <v>51</v>
      </c>
      <c r="C38" s="16">
        <v>179.6</v>
      </c>
      <c r="D38" s="16">
        <v>179.6</v>
      </c>
    </row>
    <row r="39" spans="1:4" ht="25.5" hidden="1">
      <c r="A39" s="65" t="s">
        <v>235</v>
      </c>
      <c r="B39" s="4" t="s">
        <v>51</v>
      </c>
      <c r="C39" s="16">
        <v>0</v>
      </c>
      <c r="D39" s="16"/>
    </row>
    <row r="40" spans="1:4" ht="29.25" customHeight="1" hidden="1">
      <c r="A40" s="80" t="s">
        <v>68</v>
      </c>
      <c r="B40" s="3" t="s">
        <v>50</v>
      </c>
      <c r="C40" s="17">
        <f>C41+C43</f>
        <v>0</v>
      </c>
      <c r="D40" s="14">
        <f>D41+D43</f>
        <v>0</v>
      </c>
    </row>
    <row r="41" spans="1:4" ht="26.25" customHeight="1" hidden="1">
      <c r="A41" s="81"/>
      <c r="B41" s="87" t="s">
        <v>51</v>
      </c>
      <c r="C41" s="123">
        <f>C46+C60</f>
        <v>0</v>
      </c>
      <c r="D41" s="123">
        <f>D46+D60</f>
        <v>0</v>
      </c>
    </row>
    <row r="42" spans="1:4" ht="12.75" hidden="1">
      <c r="A42" s="81"/>
      <c r="B42" s="88"/>
      <c r="C42" s="124"/>
      <c r="D42" s="124"/>
    </row>
    <row r="43" spans="1:4" ht="38.25" hidden="1">
      <c r="A43" s="81"/>
      <c r="B43" s="3" t="s">
        <v>56</v>
      </c>
      <c r="C43" s="25">
        <f>C44+C45</f>
        <v>0</v>
      </c>
      <c r="D43" s="18">
        <f>D44+D45</f>
        <v>0</v>
      </c>
    </row>
    <row r="44" spans="1:4" ht="12.75" hidden="1">
      <c r="A44" s="81"/>
      <c r="B44" s="3" t="s">
        <v>52</v>
      </c>
      <c r="C44" s="3">
        <f>C52</f>
        <v>0</v>
      </c>
      <c r="D44" s="3">
        <f>D52</f>
        <v>0</v>
      </c>
    </row>
    <row r="45" spans="1:4" ht="12.75" hidden="1">
      <c r="A45" s="82"/>
      <c r="B45" s="3" t="s">
        <v>54</v>
      </c>
      <c r="C45" s="3">
        <f>C59</f>
        <v>0</v>
      </c>
      <c r="D45" s="3">
        <f>D53+D61</f>
        <v>0</v>
      </c>
    </row>
    <row r="46" spans="1:4" ht="30" customHeight="1" hidden="1">
      <c r="A46" s="46" t="s">
        <v>69</v>
      </c>
      <c r="B46" s="4" t="s">
        <v>51</v>
      </c>
      <c r="C46" s="16">
        <v>0</v>
      </c>
      <c r="D46" s="19"/>
    </row>
    <row r="47" spans="1:6" ht="36" customHeight="1" hidden="1">
      <c r="A47" s="100" t="s">
        <v>189</v>
      </c>
      <c r="B47" s="27" t="s">
        <v>50</v>
      </c>
      <c r="C47" s="27">
        <f>C49+C48</f>
        <v>0</v>
      </c>
      <c r="D47" s="27">
        <f>D49+D48</f>
        <v>0</v>
      </c>
      <c r="E47" s="58">
        <v>4709100</v>
      </c>
      <c r="F47" s="58">
        <v>4709100</v>
      </c>
    </row>
    <row r="48" spans="1:4" ht="36" customHeight="1" hidden="1">
      <c r="A48" s="101"/>
      <c r="B48" s="27" t="s">
        <v>51</v>
      </c>
      <c r="C48" s="27">
        <f>C60+C54</f>
        <v>0</v>
      </c>
      <c r="D48" s="27">
        <f>D60+D54</f>
        <v>0</v>
      </c>
    </row>
    <row r="49" spans="1:4" ht="38.25" hidden="1">
      <c r="A49" s="101"/>
      <c r="B49" s="27" t="s">
        <v>56</v>
      </c>
      <c r="C49" s="27">
        <f>C50+C51</f>
        <v>0</v>
      </c>
      <c r="D49" s="27">
        <f>D50+D51</f>
        <v>0</v>
      </c>
    </row>
    <row r="50" spans="1:4" ht="12.75" hidden="1">
      <c r="A50" s="101"/>
      <c r="B50" s="27" t="s">
        <v>52</v>
      </c>
      <c r="C50" s="27">
        <f>C52</f>
        <v>0</v>
      </c>
      <c r="D50" s="27">
        <f>D52</f>
        <v>0</v>
      </c>
    </row>
    <row r="51" spans="1:4" ht="12.75" hidden="1">
      <c r="A51" s="102"/>
      <c r="B51" s="27" t="s">
        <v>54</v>
      </c>
      <c r="C51" s="27">
        <f>C53+C61</f>
        <v>0</v>
      </c>
      <c r="D51" s="27">
        <f>D53+D61</f>
        <v>0</v>
      </c>
    </row>
    <row r="52" spans="1:4" ht="27" customHeight="1" hidden="1">
      <c r="A52" s="113" t="s">
        <v>184</v>
      </c>
      <c r="B52" s="4" t="s">
        <v>52</v>
      </c>
      <c r="C52" s="21"/>
      <c r="D52" s="31"/>
    </row>
    <row r="53" spans="1:4" ht="21" customHeight="1" hidden="1">
      <c r="A53" s="114"/>
      <c r="B53" s="4" t="s">
        <v>54</v>
      </c>
      <c r="C53" s="21"/>
      <c r="D53" s="26"/>
    </row>
    <row r="54" spans="1:4" ht="33" customHeight="1" hidden="1">
      <c r="A54" s="115"/>
      <c r="B54" s="4" t="s">
        <v>51</v>
      </c>
      <c r="C54" s="32"/>
      <c r="D54" s="32"/>
    </row>
    <row r="55" spans="1:8" ht="18" customHeight="1" hidden="1">
      <c r="A55" s="100" t="s">
        <v>189</v>
      </c>
      <c r="B55" s="27" t="s">
        <v>50</v>
      </c>
      <c r="C55" s="43">
        <f>C56+C57</f>
        <v>0</v>
      </c>
      <c r="D55" s="43">
        <f>D56+D57</f>
        <v>0</v>
      </c>
      <c r="E55" s="60"/>
      <c r="F55" s="60"/>
      <c r="G55" s="60"/>
      <c r="H55" s="60"/>
    </row>
    <row r="56" spans="1:8" ht="27" customHeight="1" hidden="1">
      <c r="A56" s="101"/>
      <c r="B56" s="27" t="s">
        <v>51</v>
      </c>
      <c r="C56" s="43">
        <f>C60</f>
        <v>0</v>
      </c>
      <c r="D56" s="43">
        <f>D60</f>
        <v>0</v>
      </c>
      <c r="E56" s="60"/>
      <c r="F56" s="60"/>
      <c r="G56" s="60"/>
      <c r="H56" s="60"/>
    </row>
    <row r="57" spans="1:8" ht="42" customHeight="1" hidden="1">
      <c r="A57" s="101"/>
      <c r="B57" s="27" t="s">
        <v>56</v>
      </c>
      <c r="C57" s="43">
        <f>C58+C59</f>
        <v>0</v>
      </c>
      <c r="D57" s="43">
        <f>D58+D59</f>
        <v>0</v>
      </c>
      <c r="E57" s="60"/>
      <c r="F57" s="60"/>
      <c r="G57" s="60"/>
      <c r="H57" s="60"/>
    </row>
    <row r="58" spans="1:8" ht="21" customHeight="1" hidden="1">
      <c r="A58" s="101"/>
      <c r="B58" s="27" t="s">
        <v>52</v>
      </c>
      <c r="C58" s="42">
        <v>0</v>
      </c>
      <c r="D58" s="42">
        <v>0</v>
      </c>
      <c r="E58" s="60"/>
      <c r="F58" s="60"/>
      <c r="G58" s="60"/>
      <c r="H58" s="60"/>
    </row>
    <row r="59" spans="1:8" ht="20.25" customHeight="1" hidden="1">
      <c r="A59" s="102"/>
      <c r="B59" s="27" t="s">
        <v>54</v>
      </c>
      <c r="C59" s="43">
        <f>C61</f>
        <v>0</v>
      </c>
      <c r="D59" s="43">
        <f>D61</f>
        <v>0</v>
      </c>
      <c r="E59" s="60"/>
      <c r="F59" s="60"/>
      <c r="G59" s="60"/>
      <c r="H59" s="60"/>
    </row>
    <row r="60" spans="1:8" ht="26.25" customHeight="1" hidden="1">
      <c r="A60" s="113" t="s">
        <v>225</v>
      </c>
      <c r="B60" s="4" t="s">
        <v>51</v>
      </c>
      <c r="C60" s="16"/>
      <c r="D60" s="19"/>
      <c r="E60" s="60"/>
      <c r="F60" s="60"/>
      <c r="G60" s="60"/>
      <c r="H60" s="60"/>
    </row>
    <row r="61" spans="1:8" ht="39.75" customHeight="1" hidden="1">
      <c r="A61" s="115"/>
      <c r="B61" s="4" t="s">
        <v>54</v>
      </c>
      <c r="C61" s="16"/>
      <c r="D61" s="19"/>
      <c r="E61" s="60"/>
      <c r="F61" s="60"/>
      <c r="G61" s="60"/>
      <c r="H61" s="60"/>
    </row>
    <row r="62" spans="1:4" ht="25.5" customHeight="1">
      <c r="A62" s="112" t="s">
        <v>70</v>
      </c>
      <c r="B62" s="3" t="s">
        <v>50</v>
      </c>
      <c r="C62" s="14">
        <f>C63+C64</f>
        <v>6908</v>
      </c>
      <c r="D62" s="14">
        <f>D63+D64</f>
        <v>6563</v>
      </c>
    </row>
    <row r="63" spans="1:4" ht="26.25" customHeight="1">
      <c r="A63" s="112"/>
      <c r="B63" s="87" t="s">
        <v>51</v>
      </c>
      <c r="C63" s="75">
        <f>C66+C67+C68+C65</f>
        <v>6908</v>
      </c>
      <c r="D63" s="75">
        <f>D66+D67+D68+D65</f>
        <v>6563</v>
      </c>
    </row>
    <row r="64" spans="1:4" ht="12.75">
      <c r="A64" s="112"/>
      <c r="B64" s="88"/>
      <c r="C64" s="76"/>
      <c r="D64" s="76"/>
    </row>
    <row r="65" spans="1:4" ht="38.25" hidden="1">
      <c r="A65" s="46" t="s">
        <v>180</v>
      </c>
      <c r="B65" s="4" t="s">
        <v>51</v>
      </c>
      <c r="C65" s="19"/>
      <c r="D65" s="19"/>
    </row>
    <row r="66" spans="1:4" ht="38.25">
      <c r="A66" s="46" t="s">
        <v>71</v>
      </c>
      <c r="B66" s="4" t="s">
        <v>51</v>
      </c>
      <c r="C66" s="16">
        <v>5627.9</v>
      </c>
      <c r="D66" s="16">
        <f>7825.4-2504.9</f>
        <v>5320.5</v>
      </c>
    </row>
    <row r="67" spans="1:4" ht="25.5">
      <c r="A67" s="46" t="s">
        <v>72</v>
      </c>
      <c r="B67" s="4" t="s">
        <v>51</v>
      </c>
      <c r="C67" s="16">
        <v>760.1</v>
      </c>
      <c r="D67" s="16">
        <f>985.5-263</f>
        <v>722.5</v>
      </c>
    </row>
    <row r="68" spans="1:4" ht="25.5">
      <c r="A68" s="46" t="s">
        <v>73</v>
      </c>
      <c r="B68" s="4" t="s">
        <v>51</v>
      </c>
      <c r="C68" s="16">
        <v>520</v>
      </c>
      <c r="D68" s="16">
        <v>520</v>
      </c>
    </row>
    <row r="69" spans="1:4" ht="38.25" customHeight="1">
      <c r="A69" s="80" t="s">
        <v>74</v>
      </c>
      <c r="B69" s="3" t="s">
        <v>50</v>
      </c>
      <c r="C69" s="14">
        <f>C70+C71</f>
        <v>661440.0999999999</v>
      </c>
      <c r="D69" s="14">
        <f>D70+D71</f>
        <v>614607.47</v>
      </c>
    </row>
    <row r="70" spans="1:4" ht="25.5">
      <c r="A70" s="81"/>
      <c r="B70" s="3" t="s">
        <v>51</v>
      </c>
      <c r="C70" s="14">
        <f>C75+C130+C156+C164</f>
        <v>224588.59999999998</v>
      </c>
      <c r="D70" s="14">
        <f>D75+D130+D156+D164</f>
        <v>203986.30000000002</v>
      </c>
    </row>
    <row r="71" spans="1:4" ht="38.25">
      <c r="A71" s="81"/>
      <c r="B71" s="3" t="s">
        <v>56</v>
      </c>
      <c r="C71" s="14">
        <f>C72+C73</f>
        <v>436851.49999999994</v>
      </c>
      <c r="D71" s="14">
        <f>D72+D73</f>
        <v>410621.17</v>
      </c>
    </row>
    <row r="72" spans="1:4" ht="12.75">
      <c r="A72" s="81"/>
      <c r="B72" s="3" t="s">
        <v>52</v>
      </c>
      <c r="C72" s="14">
        <f>C132+C78</f>
        <v>35844</v>
      </c>
      <c r="D72" s="14">
        <f>D132+D78</f>
        <v>29391.4</v>
      </c>
    </row>
    <row r="73" spans="1:10" ht="12.75">
      <c r="A73" s="82"/>
      <c r="B73" s="3" t="s">
        <v>54</v>
      </c>
      <c r="C73" s="14">
        <f>C77+C133+C158+C166</f>
        <v>401007.49999999994</v>
      </c>
      <c r="D73" s="14">
        <f>D77+D133+D158+D166</f>
        <v>381229.76999999996</v>
      </c>
      <c r="J73" s="66"/>
    </row>
    <row r="74" spans="1:4" ht="12.75" customHeight="1">
      <c r="A74" s="77" t="s">
        <v>75</v>
      </c>
      <c r="B74" s="5" t="s">
        <v>50</v>
      </c>
      <c r="C74" s="20">
        <f>C75+C76</f>
        <v>614996.3999999999</v>
      </c>
      <c r="D74" s="20">
        <f>D75+D76</f>
        <v>570393.1</v>
      </c>
    </row>
    <row r="75" spans="1:4" ht="25.5">
      <c r="A75" s="78"/>
      <c r="B75" s="5" t="s">
        <v>51</v>
      </c>
      <c r="C75" s="20">
        <f>C79+C80+C81+C82+C83+C84+C85+C86+C87+C88+C89+C90+C91+C92+C93+C94+C95+C96+C97+C98+C99+C100+C108+C122</f>
        <v>198456.9</v>
      </c>
      <c r="D75" s="20">
        <f>D79+D80+D81+D82+D83+D84+D85+D86+D87+D88+D89+D90+D91+D92+D93+D94+D95+D96+D97+D98+D99+D100+D108+D122</f>
        <v>179581.1</v>
      </c>
    </row>
    <row r="76" spans="1:4" ht="38.25">
      <c r="A76" s="78"/>
      <c r="B76" s="5" t="s">
        <v>56</v>
      </c>
      <c r="C76" s="20">
        <f>C77+C78</f>
        <v>416539.49999999994</v>
      </c>
      <c r="D76" s="20">
        <f>D77+D78</f>
        <v>390811.99999999994</v>
      </c>
    </row>
    <row r="77" spans="1:4" ht="12.75">
      <c r="A77" s="79"/>
      <c r="B77" s="5" t="s">
        <v>54</v>
      </c>
      <c r="C77" s="20">
        <f>C102+C103+C104+C105+C106+C107+C109+C110+C112+C126+C120+C121</f>
        <v>381309.29999999993</v>
      </c>
      <c r="D77" s="20">
        <f>D102+D103+D104+D105+D106+D107+D109+D110+D112+D126+D120+D121</f>
        <v>362034.39999999997</v>
      </c>
    </row>
    <row r="78" spans="1:10" ht="12.75">
      <c r="A78" s="47"/>
      <c r="B78" s="5" t="s">
        <v>52</v>
      </c>
      <c r="C78" s="20">
        <f>C101+C114+C111+C125</f>
        <v>35230.2</v>
      </c>
      <c r="D78" s="20">
        <f>D101+D114+D111+D125</f>
        <v>28777.600000000002</v>
      </c>
      <c r="J78" s="66"/>
    </row>
    <row r="79" spans="1:4" ht="32.25" customHeight="1">
      <c r="A79" s="48" t="s">
        <v>105</v>
      </c>
      <c r="B79" s="4" t="s">
        <v>51</v>
      </c>
      <c r="C79" s="21">
        <v>38.8</v>
      </c>
      <c r="D79" s="16">
        <v>38.8</v>
      </c>
    </row>
    <row r="80" spans="1:4" ht="40.5" customHeight="1">
      <c r="A80" s="48" t="s">
        <v>76</v>
      </c>
      <c r="B80" s="4" t="s">
        <v>51</v>
      </c>
      <c r="C80" s="21">
        <v>5.4</v>
      </c>
      <c r="D80" s="16">
        <v>5.4</v>
      </c>
    </row>
    <row r="81" spans="1:4" ht="38.25" hidden="1">
      <c r="A81" s="48" t="s">
        <v>106</v>
      </c>
      <c r="B81" s="4" t="s">
        <v>51</v>
      </c>
      <c r="C81" s="21">
        <v>0</v>
      </c>
      <c r="D81" s="16">
        <v>0</v>
      </c>
    </row>
    <row r="82" spans="1:4" ht="27.75" customHeight="1">
      <c r="A82" s="48" t="s">
        <v>55</v>
      </c>
      <c r="B82" s="4" t="s">
        <v>51</v>
      </c>
      <c r="C82" s="21">
        <v>13.7</v>
      </c>
      <c r="D82" s="16">
        <v>9.6</v>
      </c>
    </row>
    <row r="83" spans="1:4" ht="27.75" customHeight="1">
      <c r="A83" s="48" t="s">
        <v>159</v>
      </c>
      <c r="B83" s="10" t="s">
        <v>51</v>
      </c>
      <c r="C83" s="21">
        <f>3454.8-'4 месяца'!C83</f>
        <v>2720</v>
      </c>
      <c r="D83" s="16">
        <f>3454.7-'4 месяца'!D83</f>
        <v>2719.8999999999996</v>
      </c>
    </row>
    <row r="84" spans="1:4" ht="27.75" customHeight="1" hidden="1">
      <c r="A84" s="48" t="s">
        <v>169</v>
      </c>
      <c r="B84" s="10" t="s">
        <v>51</v>
      </c>
      <c r="C84" s="21">
        <v>0</v>
      </c>
      <c r="D84" s="16"/>
    </row>
    <row r="85" spans="1:4" ht="65.25" customHeight="1">
      <c r="A85" s="40" t="s">
        <v>198</v>
      </c>
      <c r="B85" s="4" t="s">
        <v>144</v>
      </c>
      <c r="C85" s="21">
        <f>1045.3-'4 месяца'!C85</f>
        <v>738.5</v>
      </c>
      <c r="D85" s="16">
        <f>1045.1-'4 месяца'!D85</f>
        <v>738.3</v>
      </c>
    </row>
    <row r="86" spans="1:4" ht="27.75" customHeight="1" hidden="1">
      <c r="A86" s="48" t="s">
        <v>199</v>
      </c>
      <c r="B86" s="10" t="s">
        <v>51</v>
      </c>
      <c r="C86" s="21"/>
      <c r="D86" s="16"/>
    </row>
    <row r="87" spans="1:8" s="11" customFormat="1" ht="25.5">
      <c r="A87" s="49" t="s">
        <v>107</v>
      </c>
      <c r="B87" s="10" t="s">
        <v>51</v>
      </c>
      <c r="C87" s="26">
        <f>162765.8-'4 месяца'!C87</f>
        <v>115007.49999999999</v>
      </c>
      <c r="D87" s="21">
        <f>151928.8-'4 месяца'!D87</f>
        <v>104170.49999999999</v>
      </c>
      <c r="E87" s="60"/>
      <c r="F87" s="60"/>
      <c r="G87" s="60"/>
      <c r="H87" s="60"/>
    </row>
    <row r="88" spans="1:4" ht="38.25">
      <c r="A88" s="48" t="s">
        <v>171</v>
      </c>
      <c r="B88" s="4" t="s">
        <v>51</v>
      </c>
      <c r="C88" s="21">
        <f>254.9-'4 месяца'!C88</f>
        <v>254.9</v>
      </c>
      <c r="D88" s="21">
        <v>254.8</v>
      </c>
    </row>
    <row r="89" spans="1:4" ht="25.5">
      <c r="A89" s="48" t="s">
        <v>170</v>
      </c>
      <c r="B89" s="4" t="s">
        <v>51</v>
      </c>
      <c r="C89" s="21">
        <f>143.6-'4 месяца'!C89</f>
        <v>143.6</v>
      </c>
      <c r="D89" s="16">
        <v>143.5</v>
      </c>
    </row>
    <row r="90" spans="1:4" ht="33" customHeight="1">
      <c r="A90" s="48" t="s">
        <v>108</v>
      </c>
      <c r="B90" s="4" t="s">
        <v>51</v>
      </c>
      <c r="C90" s="21">
        <f>21452.5-'4 месяца'!C90</f>
        <v>14399.1</v>
      </c>
      <c r="D90" s="16">
        <f>19613.7-'4 месяца'!D90</f>
        <v>12560.300000000001</v>
      </c>
    </row>
    <row r="91" spans="1:4" ht="27.75" customHeight="1">
      <c r="A91" s="48" t="s">
        <v>77</v>
      </c>
      <c r="B91" s="4" t="s">
        <v>51</v>
      </c>
      <c r="C91" s="21">
        <f>22473.8-'4 месяца'!C91</f>
        <v>16326.199999999999</v>
      </c>
      <c r="D91" s="21">
        <f>20701.3-'4 месяца'!D91</f>
        <v>14553.699999999999</v>
      </c>
    </row>
    <row r="92" spans="1:4" ht="48" customHeight="1">
      <c r="A92" s="48" t="s">
        <v>109</v>
      </c>
      <c r="B92" s="4" t="s">
        <v>51</v>
      </c>
      <c r="C92" s="21">
        <f>6062.1-'4 месяца'!C92</f>
        <v>3580.9000000000005</v>
      </c>
      <c r="D92" s="16">
        <f>5754.3-'4 месяца'!D92</f>
        <v>3273.1000000000004</v>
      </c>
    </row>
    <row r="93" spans="1:4" ht="51.75" customHeight="1">
      <c r="A93" s="48" t="s">
        <v>160</v>
      </c>
      <c r="B93" s="4" t="s">
        <v>51</v>
      </c>
      <c r="C93" s="21">
        <f>62.4-'4 месяца'!C93</f>
        <v>59.4</v>
      </c>
      <c r="D93" s="16">
        <f>62.3-'4 месяца'!D93</f>
        <v>59.3</v>
      </c>
    </row>
    <row r="94" spans="1:4" ht="25.5">
      <c r="A94" s="48" t="s">
        <v>103</v>
      </c>
      <c r="B94" s="4" t="s">
        <v>51</v>
      </c>
      <c r="C94" s="21">
        <f>54527.5-'4 месяца'!C94</f>
        <v>37044.1</v>
      </c>
      <c r="D94" s="16">
        <f>53005.4-'4 месяца'!D94</f>
        <v>35522</v>
      </c>
    </row>
    <row r="95" spans="1:4" ht="40.5" customHeight="1">
      <c r="A95" s="48" t="s">
        <v>110</v>
      </c>
      <c r="B95" s="4" t="s">
        <v>51</v>
      </c>
      <c r="C95" s="21">
        <f>67.3-'4 месяца'!C95</f>
        <v>31.699999999999996</v>
      </c>
      <c r="D95" s="16">
        <f>60-'4 месяца'!D95</f>
        <v>24.4</v>
      </c>
    </row>
    <row r="96" spans="1:4" ht="40.5" customHeight="1">
      <c r="A96" s="48" t="s">
        <v>167</v>
      </c>
      <c r="B96" s="4" t="s">
        <v>51</v>
      </c>
      <c r="C96" s="21">
        <f>161-'4 месяца'!C96</f>
        <v>161</v>
      </c>
      <c r="D96" s="16">
        <v>161</v>
      </c>
    </row>
    <row r="97" spans="1:5" ht="40.5" customHeight="1" hidden="1">
      <c r="A97" s="48" t="s">
        <v>226</v>
      </c>
      <c r="B97" s="4" t="s">
        <v>51</v>
      </c>
      <c r="C97" s="21"/>
      <c r="D97" s="16"/>
      <c r="E97" s="60"/>
    </row>
    <row r="98" spans="1:4" ht="40.5" customHeight="1">
      <c r="A98" s="48" t="s">
        <v>229</v>
      </c>
      <c r="B98" s="4" t="s">
        <v>51</v>
      </c>
      <c r="C98" s="21">
        <f>2056.3-'4 месяца'!C98</f>
        <v>2050.3</v>
      </c>
      <c r="D98" s="16">
        <v>0</v>
      </c>
    </row>
    <row r="99" spans="1:4" ht="25.5">
      <c r="A99" s="48" t="s">
        <v>104</v>
      </c>
      <c r="B99" s="4" t="s">
        <v>51</v>
      </c>
      <c r="C99" s="21">
        <f>2457-'4 месяца'!C99</f>
        <v>2414.2</v>
      </c>
      <c r="D99" s="16">
        <f>2045.8-'4 месяца'!D99</f>
        <v>2003</v>
      </c>
    </row>
    <row r="100" spans="1:4" ht="25.5">
      <c r="A100" s="48" t="s">
        <v>181</v>
      </c>
      <c r="B100" s="4" t="s">
        <v>51</v>
      </c>
      <c r="C100" s="21">
        <f>5051.5-'4 месяца'!C100</f>
        <v>3436.7</v>
      </c>
      <c r="D100" s="16">
        <f>4927.5-'4 месяца'!D100</f>
        <v>3312.7</v>
      </c>
    </row>
    <row r="101" spans="1:10" ht="51">
      <c r="A101" s="48" t="s">
        <v>200</v>
      </c>
      <c r="B101" s="4" t="s">
        <v>52</v>
      </c>
      <c r="C101" s="21">
        <f>25896.8-'4 месяца'!C101</f>
        <v>17329.3</v>
      </c>
      <c r="D101" s="21">
        <f>25330.4-'4 месяца'!D101</f>
        <v>16762.9</v>
      </c>
      <c r="E101" s="58">
        <v>8632300</v>
      </c>
      <c r="F101" s="58">
        <v>8462262.56</v>
      </c>
      <c r="J101" s="66"/>
    </row>
    <row r="102" spans="1:4" ht="41.25" customHeight="1" hidden="1">
      <c r="A102" s="48" t="s">
        <v>182</v>
      </c>
      <c r="B102" s="4" t="s">
        <v>54</v>
      </c>
      <c r="C102" s="21"/>
      <c r="D102" s="16"/>
    </row>
    <row r="103" spans="1:4" ht="63" customHeight="1">
      <c r="A103" s="48" t="s">
        <v>111</v>
      </c>
      <c r="B103" s="4" t="s">
        <v>54</v>
      </c>
      <c r="C103" s="21">
        <f>182865.5-'4 месяца'!C103</f>
        <v>130053.9</v>
      </c>
      <c r="D103" s="16">
        <f>182865.4-'4 месяца'!D103</f>
        <v>130053.79999999999</v>
      </c>
    </row>
    <row r="104" spans="1:4" ht="38.25">
      <c r="A104" s="48" t="s">
        <v>89</v>
      </c>
      <c r="B104" s="4" t="s">
        <v>54</v>
      </c>
      <c r="C104" s="21">
        <f>41178.5-'4 месяца'!C104</f>
        <v>30393.5</v>
      </c>
      <c r="D104" s="16">
        <f>40851.2-'4 месяца'!D104</f>
        <v>30066.199999999997</v>
      </c>
    </row>
    <row r="105" spans="1:4" ht="76.5">
      <c r="A105" s="48" t="s">
        <v>112</v>
      </c>
      <c r="B105" s="4" t="s">
        <v>54</v>
      </c>
      <c r="C105" s="21">
        <f>278415.5-'4 месяца'!C105-Год!J86-21452.5</f>
        <v>185882.9</v>
      </c>
      <c r="D105" s="16">
        <f>278415.3-'4 месяца'!D105-37867.9</f>
        <v>169467.3</v>
      </c>
    </row>
    <row r="106" spans="1:4" ht="38.25">
      <c r="A106" s="48" t="s">
        <v>113</v>
      </c>
      <c r="B106" s="4" t="s">
        <v>54</v>
      </c>
      <c r="C106" s="21">
        <v>27878.1</v>
      </c>
      <c r="D106" s="21">
        <f>27878.1-576.5</f>
        <v>27301.6</v>
      </c>
    </row>
    <row r="107" spans="1:4" ht="28.5" customHeight="1">
      <c r="A107" s="73" t="s">
        <v>114</v>
      </c>
      <c r="B107" s="4" t="s">
        <v>54</v>
      </c>
      <c r="C107" s="21">
        <f>450-'4 месяца'!C107</f>
        <v>392.7</v>
      </c>
      <c r="D107" s="21">
        <f>331.1-'4 месяца'!D107</f>
        <v>273.8</v>
      </c>
    </row>
    <row r="108" spans="1:9" ht="25.5">
      <c r="A108" s="74"/>
      <c r="B108" s="4" t="s">
        <v>51</v>
      </c>
      <c r="C108" s="21">
        <f>27.3-'4 месяца'!C108</f>
        <v>8.3</v>
      </c>
      <c r="D108" s="21">
        <f>27.2-'4 месяца'!D108</f>
        <v>8.2</v>
      </c>
      <c r="I108" s="66"/>
    </row>
    <row r="109" spans="1:4" ht="28.5" customHeight="1">
      <c r="A109" s="48" t="s">
        <v>34</v>
      </c>
      <c r="B109" s="4" t="s">
        <v>54</v>
      </c>
      <c r="C109" s="21">
        <f>2815.6-'4 месяца'!C109</f>
        <v>2815.6</v>
      </c>
      <c r="D109" s="21">
        <v>2184.7</v>
      </c>
    </row>
    <row r="110" spans="1:4" ht="30" customHeight="1">
      <c r="A110" s="48" t="s">
        <v>172</v>
      </c>
      <c r="B110" s="4" t="s">
        <v>54</v>
      </c>
      <c r="C110" s="21">
        <f>19.7-'4 месяца'!C110</f>
        <v>19.7</v>
      </c>
      <c r="D110" s="21">
        <v>19.7</v>
      </c>
    </row>
    <row r="111" spans="1:12" ht="39" customHeight="1">
      <c r="A111" s="73" t="s">
        <v>228</v>
      </c>
      <c r="B111" s="4" t="s">
        <v>52</v>
      </c>
      <c r="C111" s="21">
        <f>23589.3-'4 месяца'!C111</f>
        <v>17066.699999999997</v>
      </c>
      <c r="D111" s="21">
        <f>19039.1-'4 месяца'!D111-'4 месяца'!D112</f>
        <v>11180.499999999998</v>
      </c>
      <c r="E111" s="64">
        <v>9664354</v>
      </c>
      <c r="F111" s="64">
        <v>7616161.36</v>
      </c>
      <c r="G111" s="64"/>
      <c r="H111" s="64"/>
      <c r="I111" s="57"/>
      <c r="J111" s="67"/>
      <c r="K111" s="57"/>
      <c r="L111" s="57"/>
    </row>
    <row r="112" spans="1:12" ht="42" customHeight="1">
      <c r="A112" s="74"/>
      <c r="B112" s="4" t="s">
        <v>54</v>
      </c>
      <c r="C112" s="21">
        <f>4831.6-'4 месяца'!C112</f>
        <v>3495.6000000000004</v>
      </c>
      <c r="D112" s="21">
        <f>3626-'4 месяца'!D112</f>
        <v>2290</v>
      </c>
      <c r="E112" s="61"/>
      <c r="F112" s="61"/>
      <c r="G112" s="61"/>
      <c r="H112" s="61"/>
      <c r="I112" s="57"/>
      <c r="J112" s="57"/>
      <c r="K112" s="57"/>
      <c r="L112" s="57"/>
    </row>
    <row r="113" spans="1:4" ht="35.25" customHeight="1" hidden="1">
      <c r="A113" s="48" t="s">
        <v>201</v>
      </c>
      <c r="B113" s="4" t="s">
        <v>54</v>
      </c>
      <c r="C113" s="21"/>
      <c r="D113" s="16"/>
    </row>
    <row r="114" spans="1:8" ht="40.5" customHeight="1" hidden="1">
      <c r="A114" s="73" t="s">
        <v>202</v>
      </c>
      <c r="B114" s="4" t="s">
        <v>52</v>
      </c>
      <c r="C114" s="21"/>
      <c r="D114" s="16"/>
      <c r="E114" s="62"/>
      <c r="F114" s="62"/>
      <c r="G114" s="62"/>
      <c r="H114" s="62"/>
    </row>
    <row r="115" spans="1:4" ht="40.5" customHeight="1" hidden="1">
      <c r="A115" s="74"/>
      <c r="B115" s="4" t="s">
        <v>54</v>
      </c>
      <c r="C115" s="21"/>
      <c r="D115" s="16"/>
    </row>
    <row r="116" spans="1:4" ht="42.75" customHeight="1" hidden="1">
      <c r="A116" s="48" t="s">
        <v>182</v>
      </c>
      <c r="B116" s="4" t="s">
        <v>144</v>
      </c>
      <c r="C116" s="21"/>
      <c r="D116" s="16"/>
    </row>
    <row r="117" spans="1:8" s="11" customFormat="1" ht="21" customHeight="1" hidden="1">
      <c r="A117" s="92" t="s">
        <v>185</v>
      </c>
      <c r="B117" s="10" t="s">
        <v>54</v>
      </c>
      <c r="C117" s="21"/>
      <c r="D117" s="21"/>
      <c r="E117" s="60"/>
      <c r="F117" s="60"/>
      <c r="G117" s="60"/>
      <c r="H117" s="60"/>
    </row>
    <row r="118" spans="1:4" ht="27" customHeight="1" hidden="1">
      <c r="A118" s="96"/>
      <c r="B118" s="4" t="s">
        <v>144</v>
      </c>
      <c r="C118" s="21"/>
      <c r="D118" s="16"/>
    </row>
    <row r="119" spans="1:4" ht="42.75" customHeight="1" hidden="1">
      <c r="A119" s="40" t="s">
        <v>227</v>
      </c>
      <c r="B119" s="10" t="s">
        <v>54</v>
      </c>
      <c r="C119" s="21"/>
      <c r="D119" s="16"/>
    </row>
    <row r="120" spans="1:4" ht="51" customHeight="1">
      <c r="A120" s="40" t="s">
        <v>89</v>
      </c>
      <c r="B120" s="10" t="s">
        <v>54</v>
      </c>
      <c r="C120" s="21">
        <v>51.5</v>
      </c>
      <c r="D120" s="16">
        <v>51.5</v>
      </c>
    </row>
    <row r="121" spans="1:4" ht="51" customHeight="1">
      <c r="A121" s="108" t="s">
        <v>262</v>
      </c>
      <c r="B121" s="10" t="s">
        <v>54</v>
      </c>
      <c r="C121" s="21">
        <f>300</f>
        <v>300</v>
      </c>
      <c r="D121" s="16">
        <v>300</v>
      </c>
    </row>
    <row r="122" spans="1:4" ht="51" customHeight="1">
      <c r="A122" s="110"/>
      <c r="B122" s="10" t="s">
        <v>263</v>
      </c>
      <c r="C122" s="21">
        <v>22.6</v>
      </c>
      <c r="D122" s="16">
        <v>22.6</v>
      </c>
    </row>
    <row r="123" spans="1:6" ht="12.75">
      <c r="A123" s="100" t="s">
        <v>237</v>
      </c>
      <c r="B123" s="27" t="s">
        <v>50</v>
      </c>
      <c r="C123" s="33">
        <f>C124</f>
        <v>860</v>
      </c>
      <c r="D123" s="33">
        <f>D124</f>
        <v>860</v>
      </c>
      <c r="E123" s="58">
        <v>3660000</v>
      </c>
      <c r="F123" s="58">
        <v>3268043.4</v>
      </c>
    </row>
    <row r="124" spans="1:4" ht="38.25">
      <c r="A124" s="101"/>
      <c r="B124" s="27" t="s">
        <v>56</v>
      </c>
      <c r="C124" s="34">
        <f>C125+C126</f>
        <v>860</v>
      </c>
      <c r="D124" s="34">
        <f>D125+D126</f>
        <v>860</v>
      </c>
    </row>
    <row r="125" spans="1:4" ht="12.75">
      <c r="A125" s="101"/>
      <c r="B125" s="27" t="s">
        <v>52</v>
      </c>
      <c r="C125" s="34">
        <f>C127</f>
        <v>834.2</v>
      </c>
      <c r="D125" s="34">
        <f>D127</f>
        <v>834.2</v>
      </c>
    </row>
    <row r="126" spans="1:4" ht="12.75">
      <c r="A126" s="102"/>
      <c r="B126" s="27" t="s">
        <v>54</v>
      </c>
      <c r="C126" s="34">
        <f>C128</f>
        <v>25.8</v>
      </c>
      <c r="D126" s="34">
        <f>D128</f>
        <v>25.8</v>
      </c>
    </row>
    <row r="127" spans="1:8" s="11" customFormat="1" ht="50.25" customHeight="1">
      <c r="A127" s="92" t="s">
        <v>236</v>
      </c>
      <c r="B127" s="10" t="s">
        <v>52</v>
      </c>
      <c r="C127" s="21">
        <v>834.2</v>
      </c>
      <c r="D127" s="21">
        <v>834.2</v>
      </c>
      <c r="E127" s="60"/>
      <c r="F127" s="60"/>
      <c r="G127" s="60"/>
      <c r="H127" s="60"/>
    </row>
    <row r="128" spans="1:8" s="11" customFormat="1" ht="50.25" customHeight="1">
      <c r="A128" s="96"/>
      <c r="B128" s="10" t="s">
        <v>54</v>
      </c>
      <c r="C128" s="21">
        <v>25.8</v>
      </c>
      <c r="D128" s="21">
        <v>25.8</v>
      </c>
      <c r="E128" s="60"/>
      <c r="F128" s="60"/>
      <c r="G128" s="60"/>
      <c r="H128" s="60"/>
    </row>
    <row r="129" spans="1:4" ht="12.75" customHeight="1">
      <c r="A129" s="77" t="s">
        <v>30</v>
      </c>
      <c r="B129" s="5" t="s">
        <v>50</v>
      </c>
      <c r="C129" s="20">
        <f>C130+C131</f>
        <v>19297.999999999996</v>
      </c>
      <c r="D129" s="20">
        <f>D130+D131</f>
        <v>18677.37</v>
      </c>
    </row>
    <row r="130" spans="1:4" ht="25.5">
      <c r="A130" s="78"/>
      <c r="B130" s="5" t="s">
        <v>51</v>
      </c>
      <c r="C130" s="20">
        <f>C135+C136+C137+C138+C149</f>
        <v>1032.3000000000002</v>
      </c>
      <c r="D130" s="20">
        <f>D135+D136+D137+D138+D149</f>
        <v>914.2</v>
      </c>
    </row>
    <row r="131" spans="1:4" ht="38.25">
      <c r="A131" s="78"/>
      <c r="B131" s="5" t="s">
        <v>56</v>
      </c>
      <c r="C131" s="20">
        <f>C132+C133</f>
        <v>18265.699999999997</v>
      </c>
      <c r="D131" s="20">
        <f>D132+D133</f>
        <v>17763.17</v>
      </c>
    </row>
    <row r="132" spans="1:6" ht="12.75">
      <c r="A132" s="78"/>
      <c r="B132" s="5" t="s">
        <v>52</v>
      </c>
      <c r="C132" s="20">
        <f>C139</f>
        <v>613.8</v>
      </c>
      <c r="D132" s="20">
        <f>D139</f>
        <v>613.8</v>
      </c>
      <c r="E132" s="58">
        <v>3049035</v>
      </c>
      <c r="F132" s="58">
        <v>349035</v>
      </c>
    </row>
    <row r="133" spans="1:4" ht="12.75">
      <c r="A133" s="79"/>
      <c r="B133" s="5" t="s">
        <v>54</v>
      </c>
      <c r="C133" s="20">
        <f>C140+C141+C142+C143+C144+C145+C146+C147+C148+C150+C153</f>
        <v>17651.899999999998</v>
      </c>
      <c r="D133" s="20">
        <f>D140+D141+D142+D143+D144+D145+D146+D147+D148+D150+D153</f>
        <v>17149.37</v>
      </c>
    </row>
    <row r="134" spans="1:4" ht="25.5" hidden="1">
      <c r="A134" s="48" t="s">
        <v>115</v>
      </c>
      <c r="B134" s="4" t="s">
        <v>51</v>
      </c>
      <c r="C134" s="16"/>
      <c r="D134" s="16"/>
    </row>
    <row r="135" spans="1:4" ht="38.25">
      <c r="A135" s="48" t="s">
        <v>95</v>
      </c>
      <c r="B135" s="4" t="s">
        <v>51</v>
      </c>
      <c r="C135" s="16">
        <f>262.8-'4 месяца'!C135</f>
        <v>168.8</v>
      </c>
      <c r="D135" s="16">
        <f>258-'4 месяца'!D135</f>
        <v>164</v>
      </c>
    </row>
    <row r="136" spans="1:4" ht="51">
      <c r="A136" s="48" t="s">
        <v>116</v>
      </c>
      <c r="B136" s="4" t="s">
        <v>51</v>
      </c>
      <c r="C136" s="21">
        <f>592.2-'4 месяца'!C136</f>
        <v>433.6</v>
      </c>
      <c r="D136" s="21">
        <f>481.6-'4 месяца'!D136</f>
        <v>323</v>
      </c>
    </row>
    <row r="137" spans="1:4" ht="51">
      <c r="A137" s="48" t="s">
        <v>117</v>
      </c>
      <c r="B137" s="4" t="s">
        <v>51</v>
      </c>
      <c r="C137" s="16">
        <f>544.2-'4 месяца'!C137</f>
        <v>386.90000000000003</v>
      </c>
      <c r="D137" s="16">
        <f>541.5-'4 месяца'!D137</f>
        <v>384.2</v>
      </c>
    </row>
    <row r="138" spans="1:4" ht="54" customHeight="1" hidden="1">
      <c r="A138" s="48" t="s">
        <v>161</v>
      </c>
      <c r="B138" s="4" t="s">
        <v>51</v>
      </c>
      <c r="C138" s="16"/>
      <c r="D138" s="16"/>
    </row>
    <row r="139" spans="1:4" ht="38.25">
      <c r="A139" s="49" t="s">
        <v>31</v>
      </c>
      <c r="B139" s="10" t="s">
        <v>52</v>
      </c>
      <c r="C139" s="21">
        <f>829-'4 месяца'!C139</f>
        <v>613.8</v>
      </c>
      <c r="D139" s="21">
        <f>829-'4 месяца'!D139</f>
        <v>613.8</v>
      </c>
    </row>
    <row r="140" spans="1:4" ht="51">
      <c r="A140" s="48" t="s">
        <v>32</v>
      </c>
      <c r="B140" s="4" t="s">
        <v>54</v>
      </c>
      <c r="C140" s="16">
        <f>871.6-'4 месяца'!C140</f>
        <v>514.2</v>
      </c>
      <c r="D140" s="16">
        <f>835.6-'4 месяца'!D140</f>
        <v>478.20000000000005</v>
      </c>
    </row>
    <row r="141" spans="1:4" ht="25.5" hidden="1">
      <c r="A141" s="48" t="s">
        <v>33</v>
      </c>
      <c r="B141" s="4" t="s">
        <v>54</v>
      </c>
      <c r="C141" s="16"/>
      <c r="D141" s="16"/>
    </row>
    <row r="142" spans="1:4" ht="39.75" customHeight="1">
      <c r="A142" s="48" t="s">
        <v>119</v>
      </c>
      <c r="B142" s="4" t="s">
        <v>54</v>
      </c>
      <c r="C142" s="16">
        <f>1472-'4 месяца'!C142</f>
        <v>1401.8</v>
      </c>
      <c r="D142" s="16">
        <f>1331.7-'4 месяца'!D142</f>
        <v>1261.5</v>
      </c>
    </row>
    <row r="143" spans="1:4" ht="51">
      <c r="A143" s="48" t="s">
        <v>120</v>
      </c>
      <c r="B143" s="4" t="s">
        <v>54</v>
      </c>
      <c r="C143" s="16">
        <f>36-'4 месяца'!C143</f>
        <v>36</v>
      </c>
      <c r="D143" s="16">
        <f>36-'4 месяца'!D143</f>
        <v>36</v>
      </c>
    </row>
    <row r="144" spans="1:4" ht="25.5">
      <c r="A144" s="48" t="s">
        <v>96</v>
      </c>
      <c r="B144" s="4" t="s">
        <v>54</v>
      </c>
      <c r="C144" s="16">
        <f>2547.4-'4 месяца'!C144</f>
        <v>2107.4</v>
      </c>
      <c r="D144" s="16">
        <f>2290.6-'4 месяца'!D144</f>
        <v>1850.6</v>
      </c>
    </row>
    <row r="145" spans="1:4" ht="38.25">
      <c r="A145" s="48" t="s">
        <v>121</v>
      </c>
      <c r="B145" s="4" t="s">
        <v>54</v>
      </c>
      <c r="C145" s="16">
        <f>261.8-'4 месяца'!C145</f>
        <v>177.10000000000002</v>
      </c>
      <c r="D145" s="16">
        <f>245.7-'4 месяца'!D145</f>
        <v>161</v>
      </c>
    </row>
    <row r="146" spans="1:4" ht="87.75" customHeight="1" hidden="1">
      <c r="A146" s="48" t="s">
        <v>122</v>
      </c>
      <c r="B146" s="4" t="s">
        <v>54</v>
      </c>
      <c r="C146" s="16"/>
      <c r="D146" s="16"/>
    </row>
    <row r="147" spans="1:4" ht="141.75" customHeight="1">
      <c r="A147" s="48" t="s">
        <v>203</v>
      </c>
      <c r="B147" s="4" t="s">
        <v>54</v>
      </c>
      <c r="C147" s="16">
        <f>17419.3-'4 месяца'!C147</f>
        <v>11647.8</v>
      </c>
      <c r="D147" s="16">
        <f>17412.27-'4 месяца'!D147</f>
        <v>11640.77</v>
      </c>
    </row>
    <row r="148" spans="1:4" ht="111.75" customHeight="1">
      <c r="A148" s="48" t="s">
        <v>204</v>
      </c>
      <c r="B148" s="4" t="s">
        <v>54</v>
      </c>
      <c r="C148" s="39">
        <f>50-'4 месяца'!C148</f>
        <v>50</v>
      </c>
      <c r="D148" s="16">
        <f>50</f>
        <v>50</v>
      </c>
    </row>
    <row r="149" spans="1:4" ht="25.5">
      <c r="A149" s="73" t="s">
        <v>33</v>
      </c>
      <c r="B149" s="4" t="s">
        <v>51</v>
      </c>
      <c r="C149" s="21">
        <f>43-'4 месяца'!C149</f>
        <v>43</v>
      </c>
      <c r="D149" s="16">
        <v>43</v>
      </c>
    </row>
    <row r="150" spans="1:4" ht="12.75">
      <c r="A150" s="74"/>
      <c r="B150" s="4" t="s">
        <v>54</v>
      </c>
      <c r="C150" s="21">
        <v>411</v>
      </c>
      <c r="D150" s="16">
        <v>411</v>
      </c>
    </row>
    <row r="151" spans="1:6" ht="12.75">
      <c r="A151" s="100" t="s">
        <v>190</v>
      </c>
      <c r="B151" s="27" t="s">
        <v>50</v>
      </c>
      <c r="C151" s="33">
        <f aca="true" t="shared" si="1" ref="C151:D153">C152</f>
        <v>1306.6</v>
      </c>
      <c r="D151" s="33">
        <f t="shared" si="1"/>
        <v>1260.3000000000002</v>
      </c>
      <c r="E151" s="58">
        <v>3660000</v>
      </c>
      <c r="F151" s="58">
        <v>3268043.4</v>
      </c>
    </row>
    <row r="152" spans="1:4" ht="38.25">
      <c r="A152" s="101"/>
      <c r="B152" s="27" t="s">
        <v>56</v>
      </c>
      <c r="C152" s="34">
        <f t="shared" si="1"/>
        <v>1306.6</v>
      </c>
      <c r="D152" s="34">
        <f t="shared" si="1"/>
        <v>1260.3000000000002</v>
      </c>
    </row>
    <row r="153" spans="1:4" ht="12.75">
      <c r="A153" s="102"/>
      <c r="B153" s="27" t="s">
        <v>54</v>
      </c>
      <c r="C153" s="34">
        <f t="shared" si="1"/>
        <v>1306.6</v>
      </c>
      <c r="D153" s="34">
        <f t="shared" si="1"/>
        <v>1260.3000000000002</v>
      </c>
    </row>
    <row r="154" spans="1:8" s="11" customFormat="1" ht="63.75">
      <c r="A154" s="49" t="s">
        <v>118</v>
      </c>
      <c r="B154" s="10" t="s">
        <v>54</v>
      </c>
      <c r="C154" s="21">
        <f>2010-'4 месяца'!C153</f>
        <v>1306.6</v>
      </c>
      <c r="D154" s="21">
        <f>1963.7-'4 месяца'!D153</f>
        <v>1260.3000000000002</v>
      </c>
      <c r="E154" s="60"/>
      <c r="F154" s="60"/>
      <c r="G154" s="60"/>
      <c r="H154" s="60"/>
    </row>
    <row r="155" spans="1:4" ht="33.75" customHeight="1" hidden="1">
      <c r="A155" s="77" t="s">
        <v>37</v>
      </c>
      <c r="B155" s="5" t="s">
        <v>50</v>
      </c>
      <c r="C155" s="20">
        <f>C156+C157</f>
        <v>0</v>
      </c>
      <c r="D155" s="20">
        <f>D156+D157</f>
        <v>0</v>
      </c>
    </row>
    <row r="156" spans="1:4" ht="25.5" hidden="1">
      <c r="A156" s="78"/>
      <c r="B156" s="5" t="s">
        <v>51</v>
      </c>
      <c r="C156" s="20">
        <f>C160+C161+C162</f>
        <v>0</v>
      </c>
      <c r="D156" s="20">
        <f>D160+D161+D162</f>
        <v>0</v>
      </c>
    </row>
    <row r="157" spans="1:4" ht="38.25" hidden="1">
      <c r="A157" s="78"/>
      <c r="B157" s="5" t="s">
        <v>56</v>
      </c>
      <c r="C157" s="20">
        <f>C158</f>
        <v>0</v>
      </c>
      <c r="D157" s="20">
        <f>D158</f>
        <v>0</v>
      </c>
    </row>
    <row r="158" spans="1:4" ht="12.75" hidden="1">
      <c r="A158" s="79"/>
      <c r="B158" s="5" t="s">
        <v>54</v>
      </c>
      <c r="C158" s="20">
        <f>C159</f>
        <v>0</v>
      </c>
      <c r="D158" s="20">
        <f>D159</f>
        <v>0</v>
      </c>
    </row>
    <row r="159" spans="1:4" ht="25.5" hidden="1">
      <c r="A159" s="48" t="s">
        <v>34</v>
      </c>
      <c r="B159" s="4" t="s">
        <v>54</v>
      </c>
      <c r="C159" s="16">
        <v>0</v>
      </c>
      <c r="D159" s="16">
        <v>0</v>
      </c>
    </row>
    <row r="160" spans="1:4" ht="25.5" hidden="1">
      <c r="A160" s="48" t="s">
        <v>123</v>
      </c>
      <c r="B160" s="4" t="s">
        <v>144</v>
      </c>
      <c r="C160" s="16">
        <v>0</v>
      </c>
      <c r="D160" s="16">
        <v>0</v>
      </c>
    </row>
    <row r="161" spans="1:4" ht="25.5" hidden="1">
      <c r="A161" s="40" t="s">
        <v>145</v>
      </c>
      <c r="B161" s="4" t="s">
        <v>144</v>
      </c>
      <c r="C161" s="16">
        <v>0</v>
      </c>
      <c r="D161" s="16">
        <v>0</v>
      </c>
    </row>
    <row r="162" spans="1:4" ht="38.25" hidden="1">
      <c r="A162" s="48" t="s">
        <v>162</v>
      </c>
      <c r="B162" s="4" t="s">
        <v>144</v>
      </c>
      <c r="C162" s="16">
        <v>0</v>
      </c>
      <c r="D162" s="16">
        <v>0</v>
      </c>
    </row>
    <row r="163" spans="1:4" ht="33.75" customHeight="1">
      <c r="A163" s="77" t="s">
        <v>36</v>
      </c>
      <c r="B163" s="5" t="s">
        <v>50</v>
      </c>
      <c r="C163" s="20">
        <f>C164+C165</f>
        <v>27145.699999999997</v>
      </c>
      <c r="D163" s="20">
        <f>D164+D165</f>
        <v>25536.999999999996</v>
      </c>
    </row>
    <row r="164" spans="1:4" ht="25.5">
      <c r="A164" s="78"/>
      <c r="B164" s="5" t="s">
        <v>51</v>
      </c>
      <c r="C164" s="20">
        <f>C167</f>
        <v>25099.399999999998</v>
      </c>
      <c r="D164" s="20">
        <f>D167</f>
        <v>23490.999999999996</v>
      </c>
    </row>
    <row r="165" spans="1:4" ht="38.25">
      <c r="A165" s="78"/>
      <c r="B165" s="5" t="s">
        <v>56</v>
      </c>
      <c r="C165" s="20">
        <f>C166</f>
        <v>2046.3000000000002</v>
      </c>
      <c r="D165" s="20">
        <f>D166</f>
        <v>2046</v>
      </c>
    </row>
    <row r="166" spans="1:4" ht="12.75">
      <c r="A166" s="79"/>
      <c r="B166" s="5" t="s">
        <v>54</v>
      </c>
      <c r="C166" s="20">
        <f>C168</f>
        <v>2046.3000000000002</v>
      </c>
      <c r="D166" s="20">
        <f>D168</f>
        <v>2046</v>
      </c>
    </row>
    <row r="167" spans="1:4" ht="25.5">
      <c r="A167" s="48" t="s">
        <v>35</v>
      </c>
      <c r="B167" s="4" t="s">
        <v>51</v>
      </c>
      <c r="C167" s="16">
        <f>35952.6-'4 месяца'!C166</f>
        <v>25099.399999999998</v>
      </c>
      <c r="D167" s="16">
        <f>34344.2-'4 месяца'!D166</f>
        <v>23490.999999999996</v>
      </c>
    </row>
    <row r="168" spans="1:8" s="11" customFormat="1" ht="133.5" customHeight="1">
      <c r="A168" s="49" t="s">
        <v>173</v>
      </c>
      <c r="B168" s="10" t="s">
        <v>54</v>
      </c>
      <c r="C168" s="21">
        <f>2822.4-'4 месяца'!C167</f>
        <v>2046.3000000000002</v>
      </c>
      <c r="D168" s="21">
        <f>2822.1-'4 месяца'!D167</f>
        <v>2046</v>
      </c>
      <c r="E168" s="60"/>
      <c r="F168" s="60"/>
      <c r="G168" s="60"/>
      <c r="H168" s="60"/>
    </row>
    <row r="169" spans="1:4" ht="38.25" customHeight="1">
      <c r="A169" s="105" t="s">
        <v>38</v>
      </c>
      <c r="B169" s="3" t="s">
        <v>50</v>
      </c>
      <c r="C169" s="14">
        <f>C170+C171</f>
        <v>116560.8</v>
      </c>
      <c r="D169" s="14">
        <f>D170+D171</f>
        <v>111519.40000000001</v>
      </c>
    </row>
    <row r="170" spans="1:4" ht="25.5">
      <c r="A170" s="106"/>
      <c r="B170" s="3" t="s">
        <v>51</v>
      </c>
      <c r="C170" s="14">
        <f>C174+C176+C179+C181+C182+C183+C184+C185+C177+C178+C180+C190+C193+C187+C195+C175</f>
        <v>111817.1</v>
      </c>
      <c r="D170" s="14">
        <f>D174+D176+D179+D181+D182+D183+D184+D185+D177+D178+D180+D190+D193+D187+D195+D175</f>
        <v>106814.70000000001</v>
      </c>
    </row>
    <row r="171" spans="1:4" ht="38.25">
      <c r="A171" s="106"/>
      <c r="B171" s="3" t="s">
        <v>56</v>
      </c>
      <c r="C171" s="14">
        <f>C172+C173</f>
        <v>4743.7</v>
      </c>
      <c r="D171" s="14">
        <f>D172+D173</f>
        <v>4704.7</v>
      </c>
    </row>
    <row r="172" spans="1:4" ht="12.75">
      <c r="A172" s="106"/>
      <c r="B172" s="3" t="s">
        <v>54</v>
      </c>
      <c r="C172" s="14">
        <f>C186+C188+C189+C192+C194</f>
        <v>3747.7</v>
      </c>
      <c r="D172" s="14">
        <f>D186+D188+D189+D192+D194</f>
        <v>3708.7</v>
      </c>
    </row>
    <row r="173" spans="1:4" ht="12.75">
      <c r="A173" s="107"/>
      <c r="B173" s="3" t="s">
        <v>52</v>
      </c>
      <c r="C173" s="14">
        <f>C191</f>
        <v>996</v>
      </c>
      <c r="D173" s="14">
        <f>D191</f>
        <v>996</v>
      </c>
    </row>
    <row r="174" spans="1:4" ht="25.5">
      <c r="A174" s="48" t="s">
        <v>124</v>
      </c>
      <c r="B174" s="4" t="s">
        <v>51</v>
      </c>
      <c r="C174" s="16">
        <f>2166.2-'4 месяца'!C173</f>
        <v>1854.7999999999997</v>
      </c>
      <c r="D174" s="22">
        <f>2143.8-'4 месяца'!D173</f>
        <v>1832.4</v>
      </c>
    </row>
    <row r="175" spans="1:4" ht="25.5">
      <c r="A175" s="48" t="s">
        <v>255</v>
      </c>
      <c r="B175" s="4" t="s">
        <v>51</v>
      </c>
      <c r="C175" s="16">
        <f>34.9-'4 месяца'!C174</f>
        <v>34.9</v>
      </c>
      <c r="D175" s="22">
        <f>34.8-'4 месяца'!D174</f>
        <v>34.8</v>
      </c>
    </row>
    <row r="176" spans="1:4" ht="51">
      <c r="A176" s="48" t="s">
        <v>125</v>
      </c>
      <c r="B176" s="4" t="s">
        <v>51</v>
      </c>
      <c r="C176" s="16">
        <f>9.1-'4 месяца'!C175</f>
        <v>9.1</v>
      </c>
      <c r="D176" s="22">
        <v>9</v>
      </c>
    </row>
    <row r="177" spans="1:4" ht="36" customHeight="1">
      <c r="A177" s="48" t="s">
        <v>163</v>
      </c>
      <c r="B177" s="4" t="s">
        <v>51</v>
      </c>
      <c r="C177" s="16">
        <f>74-'4 месяца'!C176</f>
        <v>74</v>
      </c>
      <c r="D177" s="22">
        <f>74-'4 месяца'!D176</f>
        <v>74</v>
      </c>
    </row>
    <row r="178" spans="1:4" ht="36" customHeight="1" hidden="1">
      <c r="A178" s="48" t="s">
        <v>164</v>
      </c>
      <c r="B178" s="4" t="s">
        <v>51</v>
      </c>
      <c r="C178" s="16">
        <v>0</v>
      </c>
      <c r="D178" s="22"/>
    </row>
    <row r="179" spans="1:4" ht="25.5">
      <c r="A179" s="48" t="s">
        <v>126</v>
      </c>
      <c r="B179" s="4" t="s">
        <v>51</v>
      </c>
      <c r="C179" s="16">
        <f>52.8-'4 месяца'!C178</f>
        <v>46.4</v>
      </c>
      <c r="D179" s="22">
        <f>52.6-'4 месяца'!D178</f>
        <v>46.2</v>
      </c>
    </row>
    <row r="180" spans="1:4" ht="25.5">
      <c r="A180" s="48" t="s">
        <v>168</v>
      </c>
      <c r="B180" s="4" t="s">
        <v>51</v>
      </c>
      <c r="C180" s="16">
        <f>11796.3-'4 месяца'!C179</f>
        <v>7873.699999999999</v>
      </c>
      <c r="D180" s="22">
        <f>11455.7-'4 месяца'!D179</f>
        <v>7533.1</v>
      </c>
    </row>
    <row r="181" spans="1:4" ht="25.5">
      <c r="A181" s="48" t="s">
        <v>103</v>
      </c>
      <c r="B181" s="4" t="s">
        <v>51</v>
      </c>
      <c r="C181" s="16">
        <f>77742.8-'4 месяца'!C180</f>
        <v>52491.8</v>
      </c>
      <c r="D181" s="22">
        <f>75517.3-'4 месяца'!D180</f>
        <v>50266.3</v>
      </c>
    </row>
    <row r="182" spans="1:4" ht="25.5">
      <c r="A182" s="48" t="s">
        <v>256</v>
      </c>
      <c r="B182" s="4" t="s">
        <v>51</v>
      </c>
      <c r="C182" s="16">
        <f>45350.3-'4 месяца'!C181</f>
        <v>29382.200000000004</v>
      </c>
      <c r="D182" s="22">
        <f>44043.1-'4 месяца'!D181</f>
        <v>28075</v>
      </c>
    </row>
    <row r="183" spans="1:4" ht="25.5">
      <c r="A183" s="48" t="s">
        <v>127</v>
      </c>
      <c r="B183" s="4" t="s">
        <v>51</v>
      </c>
      <c r="C183" s="16">
        <f>3758.2-'4 месяца'!C182</f>
        <v>2545.7999999999997</v>
      </c>
      <c r="D183" s="22">
        <f>3601.4-'4 месяца'!D182</f>
        <v>2389</v>
      </c>
    </row>
    <row r="184" spans="1:4" ht="25.5">
      <c r="A184" s="48" t="s">
        <v>128</v>
      </c>
      <c r="B184" s="4" t="s">
        <v>51</v>
      </c>
      <c r="C184" s="16">
        <f>13654.7-'4 месяца'!C183</f>
        <v>9081.7</v>
      </c>
      <c r="D184" s="22">
        <f>13173.5-'4 месяца'!D183</f>
        <v>8600.5</v>
      </c>
    </row>
    <row r="185" spans="1:4" ht="25.5">
      <c r="A185" s="48" t="s">
        <v>35</v>
      </c>
      <c r="B185" s="4" t="s">
        <v>51</v>
      </c>
      <c r="C185" s="21">
        <f>12252.1-'4 месяца'!C184</f>
        <v>8131.900000000001</v>
      </c>
      <c r="D185" s="22">
        <f>11810-'4 месяца'!D184</f>
        <v>7689.8</v>
      </c>
    </row>
    <row r="186" spans="1:4" ht="39" customHeight="1">
      <c r="A186" s="108" t="s">
        <v>129</v>
      </c>
      <c r="B186" s="4" t="s">
        <v>54</v>
      </c>
      <c r="C186" s="21">
        <f>3400.4-'4 месяца'!C185</f>
        <v>2562.4</v>
      </c>
      <c r="D186" s="22">
        <f>3361.9-'4 месяца'!D185</f>
        <v>2523.9</v>
      </c>
    </row>
    <row r="187" spans="1:10" ht="25.5">
      <c r="A187" s="110"/>
      <c r="B187" s="4" t="s">
        <v>51</v>
      </c>
      <c r="C187" s="21">
        <f>254-'4 месяца'!C186</f>
        <v>191</v>
      </c>
      <c r="D187" s="22">
        <f>227.8-'4 месяца'!D186</f>
        <v>164.8</v>
      </c>
      <c r="I187" s="66"/>
      <c r="J187" s="66"/>
    </row>
    <row r="188" spans="1:4" ht="25.5">
      <c r="A188" s="48" t="s">
        <v>119</v>
      </c>
      <c r="B188" s="4" t="s">
        <v>54</v>
      </c>
      <c r="C188" s="16">
        <f>885-'4 месяца'!C187</f>
        <v>861.3</v>
      </c>
      <c r="D188" s="22">
        <f>884.5-'4 месяца'!D187</f>
        <v>860.8</v>
      </c>
    </row>
    <row r="189" spans="1:4" ht="26.25" customHeight="1">
      <c r="A189" s="73" t="s">
        <v>233</v>
      </c>
      <c r="B189" s="4" t="s">
        <v>54</v>
      </c>
      <c r="C189" s="16">
        <v>70</v>
      </c>
      <c r="D189" s="22">
        <v>70</v>
      </c>
    </row>
    <row r="190" spans="1:4" ht="25.5">
      <c r="A190" s="74"/>
      <c r="B190" s="4" t="s">
        <v>51</v>
      </c>
      <c r="C190" s="16">
        <v>5.6</v>
      </c>
      <c r="D190" s="22">
        <v>5.6</v>
      </c>
    </row>
    <row r="191" spans="1:4" ht="12.75">
      <c r="A191" s="73" t="s">
        <v>238</v>
      </c>
      <c r="B191" s="4" t="s">
        <v>52</v>
      </c>
      <c r="C191" s="16">
        <f>996-'4 месяца'!C190</f>
        <v>996</v>
      </c>
      <c r="D191" s="22">
        <v>996</v>
      </c>
    </row>
    <row r="192" spans="1:4" ht="17.25" customHeight="1">
      <c r="A192" s="86"/>
      <c r="B192" s="4" t="s">
        <v>54</v>
      </c>
      <c r="C192" s="16">
        <v>204</v>
      </c>
      <c r="D192" s="22">
        <v>204</v>
      </c>
    </row>
    <row r="193" spans="1:4" ht="27.75" customHeight="1">
      <c r="A193" s="74"/>
      <c r="B193" s="4" t="s">
        <v>51</v>
      </c>
      <c r="C193" s="16">
        <v>90.4</v>
      </c>
      <c r="D193" s="22">
        <v>90.4</v>
      </c>
    </row>
    <row r="194" spans="1:4" ht="24" customHeight="1">
      <c r="A194" s="73" t="s">
        <v>251</v>
      </c>
      <c r="B194" s="4" t="s">
        <v>54</v>
      </c>
      <c r="C194" s="16">
        <f>50-'4 месяца'!C193</f>
        <v>50</v>
      </c>
      <c r="D194" s="22">
        <v>50</v>
      </c>
    </row>
    <row r="195" spans="1:4" ht="24" customHeight="1">
      <c r="A195" s="86"/>
      <c r="B195" s="4" t="s">
        <v>51</v>
      </c>
      <c r="C195" s="16">
        <v>3.8</v>
      </c>
      <c r="D195" s="22">
        <v>3.8</v>
      </c>
    </row>
    <row r="196" spans="1:4" ht="12.75">
      <c r="A196" s="80" t="s">
        <v>149</v>
      </c>
      <c r="B196" s="3" t="s">
        <v>50</v>
      </c>
      <c r="C196" s="14">
        <f>C197+C198</f>
        <v>9902.800000000001</v>
      </c>
      <c r="D196" s="14">
        <f>D197+D198</f>
        <v>8192.599999999999</v>
      </c>
    </row>
    <row r="197" spans="1:4" ht="42.75" customHeight="1">
      <c r="A197" s="81"/>
      <c r="B197" s="3" t="s">
        <v>51</v>
      </c>
      <c r="C197" s="14">
        <f>C201+C202+C203+C204</f>
        <v>9902.800000000001</v>
      </c>
      <c r="D197" s="14">
        <f>D201+D202+D203+D204</f>
        <v>8192.599999999999</v>
      </c>
    </row>
    <row r="198" spans="1:4" ht="38.25" hidden="1">
      <c r="A198" s="81"/>
      <c r="B198" s="3" t="s">
        <v>56</v>
      </c>
      <c r="C198" s="14">
        <f>C199+C200</f>
        <v>0</v>
      </c>
      <c r="D198" s="14">
        <f>D199+D200</f>
        <v>0</v>
      </c>
    </row>
    <row r="199" spans="1:4" ht="12.75" hidden="1">
      <c r="A199" s="81"/>
      <c r="B199" s="3" t="s">
        <v>52</v>
      </c>
      <c r="C199" s="14"/>
      <c r="D199" s="14"/>
    </row>
    <row r="200" spans="1:4" ht="12.75" hidden="1">
      <c r="A200" s="82"/>
      <c r="B200" s="3" t="s">
        <v>54</v>
      </c>
      <c r="C200" s="14"/>
      <c r="D200" s="14"/>
    </row>
    <row r="201" spans="1:4" ht="25.5">
      <c r="A201" s="50" t="s">
        <v>231</v>
      </c>
      <c r="B201" s="4" t="s">
        <v>51</v>
      </c>
      <c r="C201" s="23">
        <f>10132.7-'4 месяца'!C200</f>
        <v>6545.900000000001</v>
      </c>
      <c r="D201" s="23">
        <f>10108.4-'4 месяца'!D200</f>
        <v>6521.599999999999</v>
      </c>
    </row>
    <row r="202" spans="1:4" ht="25.5">
      <c r="A202" s="50" t="s">
        <v>146</v>
      </c>
      <c r="B202" s="4" t="s">
        <v>51</v>
      </c>
      <c r="C202" s="23">
        <f>450-'4 месяца'!C201</f>
        <v>450</v>
      </c>
      <c r="D202" s="23">
        <v>110</v>
      </c>
    </row>
    <row r="203" spans="1:4" ht="25.5">
      <c r="A203" s="50" t="s">
        <v>147</v>
      </c>
      <c r="B203" s="4" t="s">
        <v>51</v>
      </c>
      <c r="C203" s="23">
        <f>2292.2-'4 месяца'!C202</f>
        <v>2141.7999999999997</v>
      </c>
      <c r="D203" s="23">
        <f>1175.8-'4 месяца'!D202</f>
        <v>1025.3999999999999</v>
      </c>
    </row>
    <row r="204" spans="1:4" ht="25.5">
      <c r="A204" s="50" t="s">
        <v>148</v>
      </c>
      <c r="B204" s="4" t="s">
        <v>51</v>
      </c>
      <c r="C204" s="23">
        <f>1120.1-'4 месяца'!C203</f>
        <v>765.0999999999999</v>
      </c>
      <c r="D204" s="23">
        <f>890.6-'4 месяца'!D203</f>
        <v>535.6</v>
      </c>
    </row>
    <row r="205" spans="1:4" ht="38.25" customHeight="1">
      <c r="A205" s="80" t="s">
        <v>78</v>
      </c>
      <c r="B205" s="3" t="s">
        <v>50</v>
      </c>
      <c r="C205" s="14">
        <f>C206+C207</f>
        <v>102920.90000000001</v>
      </c>
      <c r="D205" s="14">
        <f>D206+D207</f>
        <v>102855.59999999999</v>
      </c>
    </row>
    <row r="206" spans="1:4" ht="25.5">
      <c r="A206" s="81"/>
      <c r="B206" s="3" t="s">
        <v>51</v>
      </c>
      <c r="C206" s="14">
        <f>C211+C245+C260+C266</f>
        <v>6290.6</v>
      </c>
      <c r="D206" s="14">
        <f>D211+D245+D260+D266</f>
        <v>6290.1</v>
      </c>
    </row>
    <row r="207" spans="1:4" ht="38.25">
      <c r="A207" s="81"/>
      <c r="B207" s="3" t="s">
        <v>56</v>
      </c>
      <c r="C207" s="14">
        <f>C212+C246+C261+C267</f>
        <v>96630.3</v>
      </c>
      <c r="D207" s="14">
        <f>D212+D246+D261+D267</f>
        <v>96565.49999999999</v>
      </c>
    </row>
    <row r="208" spans="1:10" ht="12.75">
      <c r="A208" s="81"/>
      <c r="B208" s="3" t="s">
        <v>52</v>
      </c>
      <c r="C208" s="14">
        <f>C213+C248</f>
        <v>5557.6</v>
      </c>
      <c r="D208" s="14">
        <f>D213+D248</f>
        <v>5557.6</v>
      </c>
      <c r="J208" s="66"/>
    </row>
    <row r="209" spans="1:4" ht="12.75">
      <c r="A209" s="82"/>
      <c r="B209" s="3" t="s">
        <v>54</v>
      </c>
      <c r="C209" s="14">
        <f>C214+C247+C262</f>
        <v>91072.7</v>
      </c>
      <c r="D209" s="14">
        <f>D214+D247+D262</f>
        <v>91007.89999999998</v>
      </c>
    </row>
    <row r="210" spans="1:4" ht="33.75" customHeight="1">
      <c r="A210" s="77" t="s">
        <v>79</v>
      </c>
      <c r="B210" s="5" t="s">
        <v>50</v>
      </c>
      <c r="C210" s="20">
        <f>C211+C212</f>
        <v>10847.3</v>
      </c>
      <c r="D210" s="20">
        <f>D211+D212</f>
        <v>10813</v>
      </c>
    </row>
    <row r="211" spans="1:4" ht="25.5">
      <c r="A211" s="78"/>
      <c r="B211" s="5" t="s">
        <v>51</v>
      </c>
      <c r="C211" s="20">
        <f>C215+C216+C217+C218+C219+C220</f>
        <v>4364.5</v>
      </c>
      <c r="D211" s="20">
        <f>D215+D216+D217+D218+D219+D220</f>
        <v>4364.3</v>
      </c>
    </row>
    <row r="212" spans="1:4" ht="38.25">
      <c r="A212" s="78"/>
      <c r="B212" s="5" t="s">
        <v>56</v>
      </c>
      <c r="C212" s="20">
        <f>C213+C214</f>
        <v>6482.8</v>
      </c>
      <c r="D212" s="20">
        <f>D213+D214</f>
        <v>6448.699999999999</v>
      </c>
    </row>
    <row r="213" spans="1:10" ht="12.75">
      <c r="A213" s="78"/>
      <c r="B213" s="5" t="s">
        <v>52</v>
      </c>
      <c r="C213" s="20">
        <f>C221+C222+C223+C224+C225+C226+C242</f>
        <v>0</v>
      </c>
      <c r="D213" s="20">
        <f>D221+D222+D223+D224+D225+D226+D242</f>
        <v>0</v>
      </c>
      <c r="J213" s="66"/>
    </row>
    <row r="214" spans="1:4" ht="12.75">
      <c r="A214" s="79"/>
      <c r="B214" s="5" t="s">
        <v>54</v>
      </c>
      <c r="C214" s="20">
        <f>C227+C228+C229+C230+C231+C232+C233+C234+C235+C236+C237+C238+C241</f>
        <v>6482.8</v>
      </c>
      <c r="D214" s="20">
        <f>D227+D228+D229+D230+D231+D232+D233+D234+D235+D236+D237+D238+D241</f>
        <v>6448.699999999999</v>
      </c>
    </row>
    <row r="215" spans="1:4" ht="38.25">
      <c r="A215" s="48" t="s">
        <v>130</v>
      </c>
      <c r="B215" s="4" t="s">
        <v>51</v>
      </c>
      <c r="C215" s="16">
        <f>5406.7-'4 месяца'!C214</f>
        <v>3588.7999999999997</v>
      </c>
      <c r="D215" s="21">
        <f>5406.6-'4 месяца'!D214</f>
        <v>3588.7000000000003</v>
      </c>
    </row>
    <row r="216" spans="1:4" ht="25.5">
      <c r="A216" s="48" t="s">
        <v>131</v>
      </c>
      <c r="B216" s="4" t="s">
        <v>51</v>
      </c>
      <c r="C216" s="16">
        <f>1109.1-'4 месяца'!C215</f>
        <v>739.3999999999999</v>
      </c>
      <c r="D216" s="21">
        <f>1109.1-'4 месяца'!D215</f>
        <v>739.3999999999999</v>
      </c>
    </row>
    <row r="217" spans="1:4" ht="25.5" hidden="1">
      <c r="A217" s="48" t="s">
        <v>98</v>
      </c>
      <c r="B217" s="4" t="s">
        <v>51</v>
      </c>
      <c r="C217" s="16"/>
      <c r="D217" s="21"/>
    </row>
    <row r="218" spans="1:4" ht="25.5" hidden="1">
      <c r="A218" s="48" t="s">
        <v>132</v>
      </c>
      <c r="B218" s="4" t="s">
        <v>51</v>
      </c>
      <c r="C218" s="16">
        <v>0</v>
      </c>
      <c r="D218" s="21"/>
    </row>
    <row r="219" spans="1:4" ht="25.5">
      <c r="A219" s="48" t="s">
        <v>133</v>
      </c>
      <c r="B219" s="4" t="s">
        <v>51</v>
      </c>
      <c r="C219" s="16">
        <f>48.4-'4 месяца'!C218</f>
        <v>36.3</v>
      </c>
      <c r="D219" s="21">
        <f>48.3-'4 месяца'!D218</f>
        <v>36.199999999999996</v>
      </c>
    </row>
    <row r="220" spans="1:4" ht="25.5" hidden="1">
      <c r="A220" s="48" t="s">
        <v>205</v>
      </c>
      <c r="B220" s="4" t="s">
        <v>51</v>
      </c>
      <c r="C220" s="16"/>
      <c r="D220" s="21"/>
    </row>
    <row r="221" spans="1:4" ht="54" customHeight="1" hidden="1">
      <c r="A221" s="48" t="s">
        <v>134</v>
      </c>
      <c r="B221" s="4" t="s">
        <v>52</v>
      </c>
      <c r="C221" s="16"/>
      <c r="D221" s="21"/>
    </row>
    <row r="222" spans="1:4" ht="38.25" hidden="1">
      <c r="A222" s="48" t="s">
        <v>135</v>
      </c>
      <c r="B222" s="4" t="s">
        <v>52</v>
      </c>
      <c r="C222" s="16"/>
      <c r="D222" s="21"/>
    </row>
    <row r="223" spans="1:4" ht="25.5" hidden="1">
      <c r="A223" s="48" t="s">
        <v>136</v>
      </c>
      <c r="B223" s="4" t="s">
        <v>52</v>
      </c>
      <c r="C223" s="16"/>
      <c r="D223" s="21"/>
    </row>
    <row r="224" spans="1:6" ht="89.25" hidden="1">
      <c r="A224" s="48" t="s">
        <v>137</v>
      </c>
      <c r="B224" s="4" t="s">
        <v>52</v>
      </c>
      <c r="C224" s="16"/>
      <c r="D224" s="21"/>
      <c r="F224" s="58">
        <v>231333.78</v>
      </c>
    </row>
    <row r="225" spans="1:6" ht="89.25" hidden="1">
      <c r="A225" s="48" t="s">
        <v>138</v>
      </c>
      <c r="B225" s="4" t="s">
        <v>52</v>
      </c>
      <c r="C225" s="16"/>
      <c r="D225" s="21"/>
      <c r="F225" s="58">
        <v>2063.97</v>
      </c>
    </row>
    <row r="226" spans="1:6" ht="127.5" hidden="1">
      <c r="A226" s="48" t="s">
        <v>139</v>
      </c>
      <c r="B226" s="4" t="s">
        <v>52</v>
      </c>
      <c r="C226" s="16"/>
      <c r="D226" s="21"/>
      <c r="F226" s="58">
        <v>11231368.26</v>
      </c>
    </row>
    <row r="227" spans="1:4" ht="63.75">
      <c r="A227" s="48" t="s">
        <v>140</v>
      </c>
      <c r="B227" s="4" t="s">
        <v>54</v>
      </c>
      <c r="C227" s="16">
        <f>2299.9-'4 месяца'!C226</f>
        <v>1763.6000000000001</v>
      </c>
      <c r="D227" s="21">
        <f>2299.8-'4 месяца'!D226</f>
        <v>1763.5000000000002</v>
      </c>
    </row>
    <row r="228" spans="1:4" ht="153" hidden="1">
      <c r="A228" s="48" t="s">
        <v>141</v>
      </c>
      <c r="B228" s="4" t="s">
        <v>54</v>
      </c>
      <c r="C228" s="16">
        <v>0</v>
      </c>
      <c r="D228" s="21"/>
    </row>
    <row r="229" spans="1:4" ht="89.25">
      <c r="A229" s="48" t="s">
        <v>142</v>
      </c>
      <c r="B229" s="4" t="s">
        <v>54</v>
      </c>
      <c r="C229" s="16">
        <f>259.8-'4 месяца'!C228</f>
        <v>221</v>
      </c>
      <c r="D229" s="21">
        <f>259.7-'4 месяца'!D228</f>
        <v>220.89999999999998</v>
      </c>
    </row>
    <row r="230" spans="1:4" ht="63.75">
      <c r="A230" s="48" t="s">
        <v>0</v>
      </c>
      <c r="B230" s="4" t="s">
        <v>54</v>
      </c>
      <c r="C230" s="16">
        <f>11.1-'4 месяца'!C229</f>
        <v>11.1</v>
      </c>
      <c r="D230" s="21">
        <v>11.1</v>
      </c>
    </row>
    <row r="231" spans="1:9" ht="51">
      <c r="A231" s="48" t="s">
        <v>1</v>
      </c>
      <c r="B231" s="4" t="s">
        <v>54</v>
      </c>
      <c r="C231" s="16">
        <f>12.1-'4 месяца'!C230</f>
        <v>12.1</v>
      </c>
      <c r="D231" s="21">
        <v>12.1</v>
      </c>
      <c r="I231" s="11">
        <v>12.05</v>
      </c>
    </row>
    <row r="232" spans="1:4" ht="25.5" hidden="1">
      <c r="A232" s="48" t="s">
        <v>2</v>
      </c>
      <c r="B232" s="4" t="s">
        <v>54</v>
      </c>
      <c r="C232" s="16"/>
      <c r="D232" s="21"/>
    </row>
    <row r="233" spans="1:4" ht="114.75" hidden="1">
      <c r="A233" s="48" t="s">
        <v>206</v>
      </c>
      <c r="B233" s="4" t="s">
        <v>54</v>
      </c>
      <c r="C233" s="16"/>
      <c r="D233" s="21"/>
    </row>
    <row r="234" spans="1:4" ht="51" hidden="1">
      <c r="A234" s="48" t="s">
        <v>97</v>
      </c>
      <c r="B234" s="4" t="s">
        <v>54</v>
      </c>
      <c r="C234" s="16"/>
      <c r="D234" s="21"/>
    </row>
    <row r="235" spans="1:8" s="11" customFormat="1" ht="51" hidden="1">
      <c r="A235" s="49" t="s">
        <v>3</v>
      </c>
      <c r="B235" s="10" t="s">
        <v>54</v>
      </c>
      <c r="C235" s="21"/>
      <c r="D235" s="21"/>
      <c r="E235" s="60"/>
      <c r="F235" s="60"/>
      <c r="G235" s="60"/>
      <c r="H235" s="60"/>
    </row>
    <row r="236" spans="1:4" ht="76.5">
      <c r="A236" s="48" t="s">
        <v>207</v>
      </c>
      <c r="B236" s="4" t="s">
        <v>54</v>
      </c>
      <c r="C236" s="16">
        <f>433.4-'4 месяца'!C235</f>
        <v>343</v>
      </c>
      <c r="D236" s="21">
        <f>399.9-'4 месяца'!D235</f>
        <v>309.5</v>
      </c>
    </row>
    <row r="237" spans="1:4" ht="89.25" hidden="1">
      <c r="A237" s="48" t="s">
        <v>4</v>
      </c>
      <c r="B237" s="4" t="s">
        <v>54</v>
      </c>
      <c r="C237" s="16"/>
      <c r="D237" s="21"/>
    </row>
    <row r="238" spans="1:4" ht="92.25" customHeight="1">
      <c r="A238" s="51" t="s">
        <v>150</v>
      </c>
      <c r="B238" s="9" t="s">
        <v>54</v>
      </c>
      <c r="C238" s="21">
        <f>6179.3-'4 месяца'!C237</f>
        <v>4132</v>
      </c>
      <c r="D238" s="21">
        <f>6178.9-'4 месяца'!D237</f>
        <v>4131.599999999999</v>
      </c>
    </row>
    <row r="239" spans="1:6" ht="23.25" customHeight="1" hidden="1">
      <c r="A239" s="100" t="s">
        <v>190</v>
      </c>
      <c r="B239" s="27" t="s">
        <v>50</v>
      </c>
      <c r="C239" s="34">
        <f>C240</f>
        <v>0</v>
      </c>
      <c r="D239" s="34">
        <f>D240</f>
        <v>0</v>
      </c>
      <c r="E239" s="58">
        <v>10894600</v>
      </c>
      <c r="F239" s="58">
        <v>10894577.2</v>
      </c>
    </row>
    <row r="240" spans="1:4" ht="39.75" customHeight="1" hidden="1">
      <c r="A240" s="101"/>
      <c r="B240" s="27" t="s">
        <v>56</v>
      </c>
      <c r="C240" s="34">
        <f>C241+C242</f>
        <v>0</v>
      </c>
      <c r="D240" s="34">
        <f>D241+D242</f>
        <v>0</v>
      </c>
    </row>
    <row r="241" spans="1:4" ht="22.5" customHeight="1" hidden="1">
      <c r="A241" s="101"/>
      <c r="B241" s="27" t="s">
        <v>54</v>
      </c>
      <c r="C241" s="34">
        <v>0</v>
      </c>
      <c r="D241" s="34">
        <v>0</v>
      </c>
    </row>
    <row r="242" spans="1:4" ht="23.25" customHeight="1" hidden="1">
      <c r="A242" s="102"/>
      <c r="B242" s="27" t="s">
        <v>52</v>
      </c>
      <c r="C242" s="34">
        <f>C243</f>
        <v>0</v>
      </c>
      <c r="D242" s="34">
        <f>D243</f>
        <v>0</v>
      </c>
    </row>
    <row r="243" spans="1:8" s="11" customFormat="1" ht="32.25" customHeight="1" hidden="1">
      <c r="A243" s="52" t="s">
        <v>186</v>
      </c>
      <c r="B243" s="10" t="s">
        <v>52</v>
      </c>
      <c r="C243" s="21"/>
      <c r="D243" s="21"/>
      <c r="E243" s="60"/>
      <c r="F243" s="60"/>
      <c r="G243" s="60"/>
      <c r="H243" s="60"/>
    </row>
    <row r="244" spans="1:4" ht="33.75" customHeight="1">
      <c r="A244" s="77" t="s">
        <v>80</v>
      </c>
      <c r="B244" s="5" t="s">
        <v>50</v>
      </c>
      <c r="C244" s="20">
        <f>C245+C246</f>
        <v>75062.5</v>
      </c>
      <c r="D244" s="20">
        <f>D245+D246</f>
        <v>75031.79999999999</v>
      </c>
    </row>
    <row r="245" spans="1:4" ht="25.5">
      <c r="A245" s="78"/>
      <c r="B245" s="5" t="s">
        <v>51</v>
      </c>
      <c r="C245" s="20">
        <f>C249</f>
        <v>283.4</v>
      </c>
      <c r="D245" s="20">
        <f>D249</f>
        <v>283.4</v>
      </c>
    </row>
    <row r="246" spans="1:4" ht="38.25">
      <c r="A246" s="78"/>
      <c r="B246" s="5" t="s">
        <v>56</v>
      </c>
      <c r="C246" s="20">
        <f>C247+C248</f>
        <v>74779.1</v>
      </c>
      <c r="D246" s="20">
        <f>D247+D248</f>
        <v>74748.4</v>
      </c>
    </row>
    <row r="247" spans="1:4" ht="12.75">
      <c r="A247" s="78"/>
      <c r="B247" s="5" t="s">
        <v>54</v>
      </c>
      <c r="C247" s="20">
        <f>C250+C251+C252+C254</f>
        <v>69221.5</v>
      </c>
      <c r="D247" s="20">
        <f>D250+D251+D252+D254</f>
        <v>69190.79999999999</v>
      </c>
    </row>
    <row r="248" spans="1:4" ht="12.75">
      <c r="A248" s="79"/>
      <c r="B248" s="5" t="s">
        <v>52</v>
      </c>
      <c r="C248" s="20">
        <f>C255</f>
        <v>5557.6</v>
      </c>
      <c r="D248" s="20">
        <f>D255</f>
        <v>5557.6</v>
      </c>
    </row>
    <row r="249" spans="1:4" ht="103.5" customHeight="1">
      <c r="A249" s="53" t="s">
        <v>257</v>
      </c>
      <c r="B249" s="4" t="s">
        <v>51</v>
      </c>
      <c r="C249" s="23">
        <f>283.4-'4 месяца'!C248</f>
        <v>283.4</v>
      </c>
      <c r="D249" s="23">
        <v>283.4</v>
      </c>
    </row>
    <row r="250" spans="1:4" ht="102">
      <c r="A250" s="48" t="s">
        <v>208</v>
      </c>
      <c r="B250" s="4" t="s">
        <v>54</v>
      </c>
      <c r="C250" s="16">
        <f>83754.4-'4 месяца'!C249</f>
        <v>59321.2</v>
      </c>
      <c r="D250" s="16">
        <f>83754.4-'4 месяца'!D249</f>
        <v>59321.2</v>
      </c>
    </row>
    <row r="251" spans="1:4" ht="76.5">
      <c r="A251" s="48" t="s">
        <v>5</v>
      </c>
      <c r="B251" s="4" t="s">
        <v>54</v>
      </c>
      <c r="C251" s="16">
        <f>13784-'4 месяца'!C250</f>
        <v>9726.3</v>
      </c>
      <c r="D251" s="16">
        <f>13753.3-'4 месяца'!D250</f>
        <v>9695.599999999999</v>
      </c>
    </row>
    <row r="252" spans="1:4" ht="89.25">
      <c r="A252" s="48" t="s">
        <v>81</v>
      </c>
      <c r="B252" s="4" t="s">
        <v>54</v>
      </c>
      <c r="C252" s="16">
        <f>21.1-'4 месяца'!C251</f>
        <v>2.1000000000000014</v>
      </c>
      <c r="D252" s="16">
        <f>21.1-'4 месяца'!D251</f>
        <v>2.1000000000000014</v>
      </c>
    </row>
    <row r="253" spans="1:4" ht="39.75" customHeight="1">
      <c r="A253" s="83" t="s">
        <v>240</v>
      </c>
      <c r="B253" s="27" t="s">
        <v>56</v>
      </c>
      <c r="C253" s="34">
        <f>C254+C255</f>
        <v>5729.5</v>
      </c>
      <c r="D253" s="34">
        <f>D254+D255</f>
        <v>5729.5</v>
      </c>
    </row>
    <row r="254" spans="1:4" ht="22.5" customHeight="1">
      <c r="A254" s="84"/>
      <c r="B254" s="27" t="s">
        <v>54</v>
      </c>
      <c r="C254" s="34">
        <f>C257</f>
        <v>171.9</v>
      </c>
      <c r="D254" s="34">
        <f>D257</f>
        <v>171.9</v>
      </c>
    </row>
    <row r="255" spans="1:4" ht="23.25" customHeight="1">
      <c r="A255" s="85"/>
      <c r="B255" s="27" t="s">
        <v>52</v>
      </c>
      <c r="C255" s="34">
        <f>C256</f>
        <v>5557.6</v>
      </c>
      <c r="D255" s="34">
        <f>D256</f>
        <v>5557.6</v>
      </c>
    </row>
    <row r="256" spans="1:4" ht="12.75">
      <c r="A256" s="73" t="s">
        <v>239</v>
      </c>
      <c r="B256" s="4" t="s">
        <v>52</v>
      </c>
      <c r="C256" s="21">
        <f>6497.6-'4 месяца'!C255</f>
        <v>5557.6</v>
      </c>
      <c r="D256" s="21">
        <f>5557.6</f>
        <v>5557.6</v>
      </c>
    </row>
    <row r="257" spans="1:4" ht="12.75">
      <c r="A257" s="86"/>
      <c r="B257" s="4" t="s">
        <v>54</v>
      </c>
      <c r="C257" s="21">
        <f>201-'4 месяца'!C256</f>
        <v>171.9</v>
      </c>
      <c r="D257" s="21">
        <v>171.9</v>
      </c>
    </row>
    <row r="258" spans="1:4" ht="25.5" hidden="1">
      <c r="A258" s="74"/>
      <c r="B258" s="4" t="s">
        <v>51</v>
      </c>
      <c r="C258" s="16"/>
      <c r="D258" s="21"/>
    </row>
    <row r="259" spans="1:4" ht="33.75" customHeight="1">
      <c r="A259" s="77" t="s">
        <v>82</v>
      </c>
      <c r="B259" s="5" t="s">
        <v>50</v>
      </c>
      <c r="C259" s="20">
        <f>C260+C261</f>
        <v>15507</v>
      </c>
      <c r="D259" s="20">
        <f>D260+D261</f>
        <v>15507</v>
      </c>
    </row>
    <row r="260" spans="1:4" ht="25.5">
      <c r="A260" s="78"/>
      <c r="B260" s="5" t="s">
        <v>51</v>
      </c>
      <c r="C260" s="20">
        <f>C264</f>
        <v>138.60000000000002</v>
      </c>
      <c r="D260" s="20">
        <f>D264</f>
        <v>138.60000000000002</v>
      </c>
    </row>
    <row r="261" spans="1:4" ht="38.25">
      <c r="A261" s="78"/>
      <c r="B261" s="5" t="s">
        <v>56</v>
      </c>
      <c r="C261" s="20">
        <f>C263</f>
        <v>15368.4</v>
      </c>
      <c r="D261" s="20">
        <f>D263</f>
        <v>15368.4</v>
      </c>
    </row>
    <row r="262" spans="1:4" ht="12.75">
      <c r="A262" s="79"/>
      <c r="B262" s="5" t="s">
        <v>54</v>
      </c>
      <c r="C262" s="20">
        <f>C263</f>
        <v>15368.4</v>
      </c>
      <c r="D262" s="20">
        <f>D263</f>
        <v>15368.4</v>
      </c>
    </row>
    <row r="263" spans="1:4" ht="38.25">
      <c r="A263" s="48" t="s">
        <v>6</v>
      </c>
      <c r="B263" s="4" t="s">
        <v>54</v>
      </c>
      <c r="C263" s="16">
        <f>20947.8-'4 месяца'!C262</f>
        <v>15368.4</v>
      </c>
      <c r="D263" s="16">
        <f>20947.8-'4 месяца'!D262</f>
        <v>15368.4</v>
      </c>
    </row>
    <row r="264" spans="1:4" ht="25.5">
      <c r="A264" s="48" t="s">
        <v>151</v>
      </c>
      <c r="B264" s="4" t="s">
        <v>51</v>
      </c>
      <c r="C264" s="16">
        <f>194.9-'4 месяца'!C263</f>
        <v>138.60000000000002</v>
      </c>
      <c r="D264" s="16">
        <f>194.9-'4 месяца'!D263</f>
        <v>138.60000000000002</v>
      </c>
    </row>
    <row r="265" spans="1:4" ht="33.75" customHeight="1">
      <c r="A265" s="89" t="s">
        <v>83</v>
      </c>
      <c r="B265" s="5" t="s">
        <v>50</v>
      </c>
      <c r="C265" s="20">
        <f>C266+C267</f>
        <v>1504.1</v>
      </c>
      <c r="D265" s="20">
        <f>D266+D267</f>
        <v>1503.7999999999997</v>
      </c>
    </row>
    <row r="266" spans="1:4" ht="25.5">
      <c r="A266" s="89"/>
      <c r="B266" s="5" t="s">
        <v>51</v>
      </c>
      <c r="C266" s="20">
        <f>C268+C269+C270+C271+C272</f>
        <v>1504.1</v>
      </c>
      <c r="D266" s="20">
        <f>D268+D269+D270+D271+D272</f>
        <v>1503.7999999999997</v>
      </c>
    </row>
    <row r="267" spans="1:4" ht="38.25">
      <c r="A267" s="89"/>
      <c r="B267" s="5" t="s">
        <v>56</v>
      </c>
      <c r="C267" s="20">
        <v>0</v>
      </c>
      <c r="D267" s="20">
        <v>0</v>
      </c>
    </row>
    <row r="268" spans="1:4" ht="25.5">
      <c r="A268" s="48" t="s">
        <v>7</v>
      </c>
      <c r="B268" s="4" t="s">
        <v>51</v>
      </c>
      <c r="C268" s="16">
        <f>1228.1-'4 месяца'!C267</f>
        <v>1150.8999999999999</v>
      </c>
      <c r="D268" s="16">
        <f>1228-'4 месяца'!D267</f>
        <v>1150.8</v>
      </c>
    </row>
    <row r="269" spans="1:4" ht="51">
      <c r="A269" s="48" t="s">
        <v>8</v>
      </c>
      <c r="B269" s="4" t="s">
        <v>51</v>
      </c>
      <c r="C269" s="16">
        <f>64.6-'4 месяца'!C268</f>
        <v>48.39999999999999</v>
      </c>
      <c r="D269" s="16">
        <f>64.5-'4 месяца'!D268</f>
        <v>48.3</v>
      </c>
    </row>
    <row r="270" spans="1:4" ht="38.25">
      <c r="A270" s="48" t="s">
        <v>9</v>
      </c>
      <c r="B270" s="4" t="s">
        <v>51</v>
      </c>
      <c r="C270" s="16">
        <f>21.3-'4 месяца'!C269</f>
        <v>21.3</v>
      </c>
      <c r="D270" s="16">
        <f>21.3-'4 месяца'!D269</f>
        <v>21.3</v>
      </c>
    </row>
    <row r="271" spans="1:4" ht="38.25">
      <c r="A271" s="48" t="s">
        <v>10</v>
      </c>
      <c r="B271" s="4" t="s">
        <v>51</v>
      </c>
      <c r="C271" s="16">
        <f>20.9-'4 месяца'!C270</f>
        <v>0.09999999999999787</v>
      </c>
      <c r="D271" s="16"/>
    </row>
    <row r="272" spans="1:4" ht="51">
      <c r="A272" s="48" t="s">
        <v>11</v>
      </c>
      <c r="B272" s="4" t="s">
        <v>51</v>
      </c>
      <c r="C272" s="16">
        <f>389.4-'4 месяца'!C271</f>
        <v>283.4</v>
      </c>
      <c r="D272" s="16">
        <f>389.4-'4 месяца'!D271</f>
        <v>283.4</v>
      </c>
    </row>
    <row r="273" spans="1:4" ht="38.25" customHeight="1">
      <c r="A273" s="80" t="s">
        <v>84</v>
      </c>
      <c r="B273" s="3" t="s">
        <v>50</v>
      </c>
      <c r="C273" s="14">
        <f>C274+C275</f>
        <v>36599.99999999999</v>
      </c>
      <c r="D273" s="14">
        <f>D274+D275</f>
        <v>34315.200000000004</v>
      </c>
    </row>
    <row r="274" spans="1:4" ht="25.5">
      <c r="A274" s="81"/>
      <c r="B274" s="3" t="s">
        <v>51</v>
      </c>
      <c r="C274" s="14">
        <f>C278+C295</f>
        <v>35162.799999999996</v>
      </c>
      <c r="D274" s="14">
        <f>D278+D295</f>
        <v>32878.00000000001</v>
      </c>
    </row>
    <row r="275" spans="1:4" ht="38.25">
      <c r="A275" s="81"/>
      <c r="B275" s="3" t="s">
        <v>56</v>
      </c>
      <c r="C275" s="14">
        <f>C276</f>
        <v>1437.2</v>
      </c>
      <c r="D275" s="14">
        <f>D276</f>
        <v>1437.2</v>
      </c>
    </row>
    <row r="276" spans="1:4" ht="12.75">
      <c r="A276" s="82"/>
      <c r="B276" s="3" t="s">
        <v>54</v>
      </c>
      <c r="C276" s="14">
        <f>C297+C280</f>
        <v>1437.2</v>
      </c>
      <c r="D276" s="14">
        <f>D297+D280</f>
        <v>1437.2</v>
      </c>
    </row>
    <row r="277" spans="1:4" ht="33.75" customHeight="1">
      <c r="A277" s="77" t="s">
        <v>85</v>
      </c>
      <c r="B277" s="5" t="s">
        <v>50</v>
      </c>
      <c r="C277" s="20">
        <f>C278+C279</f>
        <v>36376.6</v>
      </c>
      <c r="D277" s="20">
        <f>D278+D279</f>
        <v>34092.100000000006</v>
      </c>
    </row>
    <row r="278" spans="1:4" ht="25.5">
      <c r="A278" s="78"/>
      <c r="B278" s="5" t="s">
        <v>51</v>
      </c>
      <c r="C278" s="20">
        <f>C281+C282+C283+C287+C288+C290+C293+C284+C285+C286+C292+C291</f>
        <v>35126.6</v>
      </c>
      <c r="D278" s="20">
        <f>D281+D282+D283+D287+D288+D290+D293+D284+D285+D286+D292+D291</f>
        <v>32842.100000000006</v>
      </c>
    </row>
    <row r="279" spans="1:4" ht="38.25">
      <c r="A279" s="78"/>
      <c r="B279" s="5" t="s">
        <v>56</v>
      </c>
      <c r="C279" s="20">
        <f>C280</f>
        <v>1250</v>
      </c>
      <c r="D279" s="20">
        <f>D280</f>
        <v>1250</v>
      </c>
    </row>
    <row r="280" spans="1:4" ht="12.75">
      <c r="A280" s="79"/>
      <c r="B280" s="5" t="s">
        <v>54</v>
      </c>
      <c r="C280" s="20">
        <f>C289</f>
        <v>1250</v>
      </c>
      <c r="D280" s="20">
        <f>D289</f>
        <v>1250</v>
      </c>
    </row>
    <row r="281" spans="1:4" ht="25.5">
      <c r="A281" s="48" t="s">
        <v>12</v>
      </c>
      <c r="B281" s="4" t="s">
        <v>51</v>
      </c>
      <c r="C281" s="16">
        <f>38-'4 месяца'!C280</f>
        <v>38</v>
      </c>
      <c r="D281" s="16">
        <f>37.9-'4 месяца'!D280</f>
        <v>37.9</v>
      </c>
    </row>
    <row r="282" spans="1:4" ht="25.5">
      <c r="A282" s="48" t="s">
        <v>13</v>
      </c>
      <c r="B282" s="4" t="s">
        <v>51</v>
      </c>
      <c r="C282" s="16">
        <f>242.8-'4 месяца'!C281</f>
        <v>149.60000000000002</v>
      </c>
      <c r="D282" s="16">
        <f>242.7-'4 месяца'!D281</f>
        <v>149.5</v>
      </c>
    </row>
    <row r="283" spans="1:4" ht="25.5">
      <c r="A283" s="48" t="s">
        <v>103</v>
      </c>
      <c r="B283" s="4" t="s">
        <v>51</v>
      </c>
      <c r="C283" s="21">
        <f>544.4-'4 месяца'!C282</f>
        <v>17.100000000000023</v>
      </c>
      <c r="D283" s="21">
        <f>544-'4 месяца'!D282</f>
        <v>16.700000000000045</v>
      </c>
    </row>
    <row r="284" spans="1:4" ht="38.25">
      <c r="A284" s="48" t="s">
        <v>241</v>
      </c>
      <c r="B284" s="4" t="s">
        <v>51</v>
      </c>
      <c r="C284" s="21">
        <f>5030-'4 месяца'!C283</f>
        <v>3617.4</v>
      </c>
      <c r="D284" s="21">
        <f>4845-'4 месяца'!D283</f>
        <v>3432.4</v>
      </c>
    </row>
    <row r="285" spans="1:4" ht="25.5">
      <c r="A285" s="48" t="s">
        <v>242</v>
      </c>
      <c r="B285" s="4" t="s">
        <v>51</v>
      </c>
      <c r="C285" s="21">
        <f>3076.6-'4 месяца'!C284</f>
        <v>2184.3999999999996</v>
      </c>
      <c r="D285" s="21">
        <f>2967-'4 месяца'!D284</f>
        <v>2074.8</v>
      </c>
    </row>
    <row r="286" spans="1:4" ht="25.5">
      <c r="A286" s="48" t="s">
        <v>243</v>
      </c>
      <c r="B286" s="4" t="s">
        <v>51</v>
      </c>
      <c r="C286" s="21">
        <f>5062.4-'4 месяца'!C285</f>
        <v>3483.7</v>
      </c>
      <c r="D286" s="21">
        <f>4783-'4 месяца'!D285</f>
        <v>3204.3</v>
      </c>
    </row>
    <row r="287" spans="1:4" ht="25.5">
      <c r="A287" s="48" t="s">
        <v>244</v>
      </c>
      <c r="B287" s="4" t="s">
        <v>51</v>
      </c>
      <c r="C287" s="21">
        <f>25477.1-'4 месяца'!C286</f>
        <v>17260.899999999998</v>
      </c>
      <c r="D287" s="21">
        <f>23958.4-'4 месяца'!D286</f>
        <v>15742.2</v>
      </c>
    </row>
    <row r="288" spans="1:4" ht="25.5">
      <c r="A288" s="48" t="s">
        <v>35</v>
      </c>
      <c r="B288" s="4" t="s">
        <v>51</v>
      </c>
      <c r="C288" s="21">
        <f>5894.1-'4 месяца'!C287</f>
        <v>3907.5000000000005</v>
      </c>
      <c r="D288" s="21">
        <f>5703.2-'4 месяца'!D287</f>
        <v>3716.6</v>
      </c>
    </row>
    <row r="289" spans="1:4" ht="12.75" customHeight="1">
      <c r="A289" s="108" t="s">
        <v>209</v>
      </c>
      <c r="B289" s="4" t="s">
        <v>54</v>
      </c>
      <c r="C289" s="21">
        <v>1250</v>
      </c>
      <c r="D289" s="21">
        <v>1250</v>
      </c>
    </row>
    <row r="290" spans="1:4" ht="25.5">
      <c r="A290" s="109"/>
      <c r="B290" s="4" t="s">
        <v>51</v>
      </c>
      <c r="C290" s="21">
        <f>2522.8-C289</f>
        <v>1272.8000000000002</v>
      </c>
      <c r="D290" s="21">
        <v>1272.8</v>
      </c>
    </row>
    <row r="291" spans="1:4" ht="12.75">
      <c r="A291" s="110"/>
      <c r="B291" s="4" t="s">
        <v>258</v>
      </c>
      <c r="C291" s="21">
        <f>187.5-'4 месяца'!C290</f>
        <v>187.5</v>
      </c>
      <c r="D291" s="21">
        <v>187.5</v>
      </c>
    </row>
    <row r="292" spans="1:4" ht="30" customHeight="1">
      <c r="A292" s="48" t="s">
        <v>253</v>
      </c>
      <c r="B292" s="4" t="s">
        <v>51</v>
      </c>
      <c r="C292" s="21">
        <f>2736.6-'4 месяца'!C291</f>
        <v>2736.6</v>
      </c>
      <c r="D292" s="21">
        <f>2736.4</f>
        <v>2736.4</v>
      </c>
    </row>
    <row r="293" spans="1:4" ht="51">
      <c r="A293" s="55" t="s">
        <v>252</v>
      </c>
      <c r="B293" s="4" t="s">
        <v>51</v>
      </c>
      <c r="C293" s="21">
        <f>276.2-'4 месяца'!C292</f>
        <v>271.09999999999997</v>
      </c>
      <c r="D293" s="21">
        <f>276.1-'4 месяца'!D292</f>
        <v>271</v>
      </c>
    </row>
    <row r="294" spans="1:4" ht="33.75" customHeight="1">
      <c r="A294" s="77" t="s">
        <v>86</v>
      </c>
      <c r="B294" s="5" t="s">
        <v>50</v>
      </c>
      <c r="C294" s="20">
        <f>C295+C296</f>
        <v>223.39999999999998</v>
      </c>
      <c r="D294" s="20">
        <f>D295+D296</f>
        <v>223.1</v>
      </c>
    </row>
    <row r="295" spans="1:4" ht="25.5">
      <c r="A295" s="78"/>
      <c r="B295" s="5" t="s">
        <v>51</v>
      </c>
      <c r="C295" s="20">
        <f>C298+C299+C300+C303+C304+C302</f>
        <v>36.19999999999999</v>
      </c>
      <c r="D295" s="20">
        <f>D298+D299+D300+D303+D302</f>
        <v>35.900000000000006</v>
      </c>
    </row>
    <row r="296" spans="1:4" ht="38.25">
      <c r="A296" s="78"/>
      <c r="B296" s="5" t="s">
        <v>56</v>
      </c>
      <c r="C296" s="20">
        <f>C297</f>
        <v>187.2</v>
      </c>
      <c r="D296" s="20">
        <f>D297</f>
        <v>187.2</v>
      </c>
    </row>
    <row r="297" spans="1:4" ht="12.75">
      <c r="A297" s="79"/>
      <c r="B297" s="5" t="s">
        <v>54</v>
      </c>
      <c r="C297" s="20">
        <f>C301</f>
        <v>187.2</v>
      </c>
      <c r="D297" s="20">
        <f>D301</f>
        <v>187.2</v>
      </c>
    </row>
    <row r="298" spans="1:4" ht="25.5">
      <c r="A298" s="48" t="s">
        <v>87</v>
      </c>
      <c r="B298" s="4" t="s">
        <v>51</v>
      </c>
      <c r="C298" s="16">
        <f>27.7-'4 месяца'!C297</f>
        <v>10.7</v>
      </c>
      <c r="D298" s="16">
        <f>27.6-'4 месяца'!D297</f>
        <v>10.600000000000001</v>
      </c>
    </row>
    <row r="299" spans="1:4" ht="25.5">
      <c r="A299" s="48" t="s">
        <v>14</v>
      </c>
      <c r="B299" s="4" t="s">
        <v>51</v>
      </c>
      <c r="C299" s="16">
        <f>85.5-'4 месяца'!C298</f>
        <v>0.09999999999999432</v>
      </c>
      <c r="D299" s="16">
        <f>85.4-'4 месяца'!D298</f>
        <v>0</v>
      </c>
    </row>
    <row r="300" spans="1:4" ht="25.5">
      <c r="A300" s="48" t="s">
        <v>15</v>
      </c>
      <c r="B300" s="4" t="s">
        <v>51</v>
      </c>
      <c r="C300" s="16">
        <f>6.1-'4 месяца'!C299</f>
        <v>6.1</v>
      </c>
      <c r="D300" s="16">
        <f>6</f>
        <v>6</v>
      </c>
    </row>
    <row r="301" spans="1:4" ht="26.25" customHeight="1">
      <c r="A301" s="73" t="s">
        <v>16</v>
      </c>
      <c r="B301" s="4" t="s">
        <v>54</v>
      </c>
      <c r="C301" s="21">
        <v>187.2</v>
      </c>
      <c r="D301" s="21">
        <v>187.2</v>
      </c>
    </row>
    <row r="302" spans="1:4" ht="25.5">
      <c r="A302" s="74"/>
      <c r="B302" s="4" t="s">
        <v>51</v>
      </c>
      <c r="C302" s="21">
        <v>19.3</v>
      </c>
      <c r="D302" s="21">
        <v>19.3</v>
      </c>
    </row>
    <row r="303" spans="1:4" ht="25.5" hidden="1">
      <c r="A303" s="48" t="s">
        <v>17</v>
      </c>
      <c r="B303" s="4" t="s">
        <v>51</v>
      </c>
      <c r="C303" s="16"/>
      <c r="D303" s="16"/>
    </row>
    <row r="304" spans="1:4" ht="25.5" hidden="1">
      <c r="A304" s="48" t="s">
        <v>201</v>
      </c>
      <c r="B304" s="4" t="s">
        <v>51</v>
      </c>
      <c r="C304" s="16">
        <v>0</v>
      </c>
      <c r="D304" s="16"/>
    </row>
    <row r="305" spans="1:4" ht="38.25" customHeight="1">
      <c r="A305" s="95" t="s">
        <v>39</v>
      </c>
      <c r="B305" s="3" t="s">
        <v>50</v>
      </c>
      <c r="C305" s="14">
        <f>C306+C307</f>
        <v>603.2</v>
      </c>
      <c r="D305" s="14">
        <f>D306+D307</f>
        <v>483.09999999999997</v>
      </c>
    </row>
    <row r="306" spans="1:4" ht="26.25" customHeight="1">
      <c r="A306" s="95"/>
      <c r="B306" s="87" t="s">
        <v>51</v>
      </c>
      <c r="C306" s="75">
        <f>C308+C309+C310+C311</f>
        <v>603.2</v>
      </c>
      <c r="D306" s="75">
        <f>D308+D309+D310</f>
        <v>483.09999999999997</v>
      </c>
    </row>
    <row r="307" spans="1:4" ht="12.75">
      <c r="A307" s="95"/>
      <c r="B307" s="88"/>
      <c r="C307" s="76"/>
      <c r="D307" s="76"/>
    </row>
    <row r="308" spans="1:4" ht="25.5">
      <c r="A308" s="48" t="s">
        <v>259</v>
      </c>
      <c r="B308" s="4" t="s">
        <v>51</v>
      </c>
      <c r="C308" s="16">
        <f>92-'4 месяца'!C307</f>
        <v>92</v>
      </c>
      <c r="D308" s="16">
        <v>92</v>
      </c>
    </row>
    <row r="309" spans="1:4" ht="25.5">
      <c r="A309" s="48" t="s">
        <v>18</v>
      </c>
      <c r="B309" s="4" t="s">
        <v>51</v>
      </c>
      <c r="C309" s="16">
        <f>99-'4 месяца'!C308</f>
        <v>99</v>
      </c>
      <c r="D309" s="16">
        <v>99</v>
      </c>
    </row>
    <row r="310" spans="1:4" ht="25.5">
      <c r="A310" s="48" t="s">
        <v>152</v>
      </c>
      <c r="B310" s="4" t="s">
        <v>51</v>
      </c>
      <c r="C310" s="16">
        <f>498-'4 месяца'!C309</f>
        <v>412.2</v>
      </c>
      <c r="D310" s="16">
        <f>377.9-'4 месяца'!D309</f>
        <v>292.09999999999997</v>
      </c>
    </row>
    <row r="311" spans="1:4" ht="25.5" hidden="1">
      <c r="A311" s="48" t="s">
        <v>210</v>
      </c>
      <c r="B311" s="4" t="s">
        <v>51</v>
      </c>
      <c r="C311" s="16">
        <v>0</v>
      </c>
      <c r="D311" s="16"/>
    </row>
    <row r="312" spans="1:4" ht="38.25" customHeight="1">
      <c r="A312" s="95" t="s">
        <v>40</v>
      </c>
      <c r="B312" s="3" t="s">
        <v>50</v>
      </c>
      <c r="C312" s="14">
        <f>C313+C314</f>
        <v>379240.39999999997</v>
      </c>
      <c r="D312" s="14">
        <f>D313+D314</f>
        <v>367071.24</v>
      </c>
    </row>
    <row r="313" spans="1:4" ht="25.5">
      <c r="A313" s="95"/>
      <c r="B313" s="3" t="s">
        <v>51</v>
      </c>
      <c r="C313" s="14">
        <f>C318+C328+C334+C346+C353+C370+C374+C316+C332-C315</f>
        <v>235956.19999999998</v>
      </c>
      <c r="D313" s="14">
        <f>D318+D328+D334+D346+D353+D370+D374+D316</f>
        <v>223953.63999999998</v>
      </c>
    </row>
    <row r="314" spans="1:4" ht="38.25">
      <c r="A314" s="95"/>
      <c r="B314" s="3" t="s">
        <v>56</v>
      </c>
      <c r="C314" s="14">
        <f>C319+C329+C335+C347+C354+C371+C375+C315</f>
        <v>143284.19999999998</v>
      </c>
      <c r="D314" s="14">
        <f>D319+D329+D335+D347+D354+D371+D375+D315</f>
        <v>143117.59999999998</v>
      </c>
    </row>
    <row r="315" spans="1:4" ht="12.75">
      <c r="A315" s="70"/>
      <c r="B315" s="3" t="s">
        <v>54</v>
      </c>
      <c r="C315" s="14">
        <f>C332</f>
        <v>1295.3</v>
      </c>
      <c r="D315" s="14">
        <f>D332</f>
        <v>1295.3</v>
      </c>
    </row>
    <row r="316" spans="1:4" ht="38.25">
      <c r="A316" s="50" t="s">
        <v>211</v>
      </c>
      <c r="B316" s="37" t="s">
        <v>51</v>
      </c>
      <c r="C316" s="23">
        <f>29340.1-'4 месяца'!C315</f>
        <v>22516.899999999998</v>
      </c>
      <c r="D316" s="23">
        <f>27889.2-'4 месяца'!D315</f>
        <v>21066</v>
      </c>
    </row>
    <row r="317" spans="1:4" ht="33.75" customHeight="1" hidden="1">
      <c r="A317" s="89" t="s">
        <v>41</v>
      </c>
      <c r="B317" s="5" t="s">
        <v>50</v>
      </c>
      <c r="C317" s="20">
        <f>C318+C319</f>
        <v>0</v>
      </c>
      <c r="D317" s="20"/>
    </row>
    <row r="318" spans="1:4" ht="25.5" hidden="1">
      <c r="A318" s="89"/>
      <c r="B318" s="5" t="s">
        <v>51</v>
      </c>
      <c r="C318" s="20">
        <f>C322+C324+C321</f>
        <v>0</v>
      </c>
      <c r="D318" s="20"/>
    </row>
    <row r="319" spans="1:4" ht="38.25" hidden="1">
      <c r="A319" s="89"/>
      <c r="B319" s="5" t="s">
        <v>56</v>
      </c>
      <c r="C319" s="20">
        <f>C320</f>
        <v>0</v>
      </c>
      <c r="D319" s="20"/>
    </row>
    <row r="320" spans="1:4" ht="12.75" hidden="1">
      <c r="A320" s="54"/>
      <c r="B320" s="5" t="s">
        <v>54</v>
      </c>
      <c r="C320" s="20">
        <f>C323+C325</f>
        <v>0</v>
      </c>
      <c r="D320" s="20"/>
    </row>
    <row r="321" spans="1:4" ht="38.25" hidden="1">
      <c r="A321" s="48" t="s">
        <v>19</v>
      </c>
      <c r="B321" s="4" t="s">
        <v>51</v>
      </c>
      <c r="C321" s="16"/>
      <c r="D321" s="16"/>
    </row>
    <row r="322" spans="1:4" ht="25.5" hidden="1">
      <c r="A322" s="73" t="s">
        <v>153</v>
      </c>
      <c r="B322" s="4" t="s">
        <v>51</v>
      </c>
      <c r="C322" s="16"/>
      <c r="D322" s="16"/>
    </row>
    <row r="323" spans="1:4" ht="12.75" hidden="1">
      <c r="A323" s="74"/>
      <c r="B323" s="4" t="s">
        <v>54</v>
      </c>
      <c r="C323" s="16"/>
      <c r="D323" s="16"/>
    </row>
    <row r="324" spans="1:12" ht="25.5" hidden="1">
      <c r="A324" s="73" t="s">
        <v>178</v>
      </c>
      <c r="B324" s="4" t="s">
        <v>51</v>
      </c>
      <c r="C324" s="16"/>
      <c r="D324" s="16"/>
      <c r="K324" s="11">
        <v>689.2</v>
      </c>
      <c r="L324" s="11">
        <f>J324-K324</f>
        <v>-689.2</v>
      </c>
    </row>
    <row r="325" spans="1:12" ht="12.75" hidden="1">
      <c r="A325" s="74"/>
      <c r="B325" s="4" t="s">
        <v>54</v>
      </c>
      <c r="C325" s="16"/>
      <c r="D325" s="16"/>
      <c r="K325" s="11">
        <v>6210</v>
      </c>
      <c r="L325" s="11">
        <f>J325-K325</f>
        <v>-6210</v>
      </c>
    </row>
    <row r="326" spans="1:4" ht="12.75" hidden="1">
      <c r="A326" s="35"/>
      <c r="B326" s="4"/>
      <c r="C326" s="16"/>
      <c r="D326" s="16"/>
    </row>
    <row r="327" spans="1:4" ht="33.75" customHeight="1" hidden="1">
      <c r="A327" s="89" t="s">
        <v>42</v>
      </c>
      <c r="B327" s="5" t="s">
        <v>50</v>
      </c>
      <c r="C327" s="20">
        <f>C328+C329</f>
        <v>0</v>
      </c>
      <c r="D327" s="20"/>
    </row>
    <row r="328" spans="1:4" ht="25.5" hidden="1">
      <c r="A328" s="89"/>
      <c r="B328" s="5" t="s">
        <v>51</v>
      </c>
      <c r="C328" s="20">
        <f>C331</f>
        <v>0</v>
      </c>
      <c r="D328" s="20"/>
    </row>
    <row r="329" spans="1:4" ht="38.25" hidden="1">
      <c r="A329" s="89"/>
      <c r="B329" s="5" t="s">
        <v>56</v>
      </c>
      <c r="C329" s="20">
        <f>C330</f>
        <v>0</v>
      </c>
      <c r="D329" s="20"/>
    </row>
    <row r="330" spans="1:4" ht="12.75" hidden="1">
      <c r="A330" s="54"/>
      <c r="B330" s="5" t="s">
        <v>54</v>
      </c>
      <c r="C330" s="20"/>
      <c r="D330" s="20"/>
    </row>
    <row r="331" spans="1:4" ht="25.5" hidden="1">
      <c r="A331" s="48" t="s">
        <v>20</v>
      </c>
      <c r="B331" s="6" t="s">
        <v>51</v>
      </c>
      <c r="C331" s="16"/>
      <c r="D331" s="16"/>
    </row>
    <row r="332" spans="1:4" ht="51">
      <c r="A332" s="40" t="s">
        <v>195</v>
      </c>
      <c r="B332" s="4" t="s">
        <v>54</v>
      </c>
      <c r="C332" s="16">
        <f>1295.3-'4 месяца'!C331</f>
        <v>1295.3</v>
      </c>
      <c r="D332" s="16">
        <f>1295.3</f>
        <v>1295.3</v>
      </c>
    </row>
    <row r="333" spans="1:4" ht="33.75" customHeight="1">
      <c r="A333" s="77" t="s">
        <v>43</v>
      </c>
      <c r="B333" s="5" t="s">
        <v>50</v>
      </c>
      <c r="C333" s="20">
        <f>C334+C335</f>
        <v>17106.7</v>
      </c>
      <c r="D333" s="20">
        <f>D334+D335</f>
        <v>14965.300000000003</v>
      </c>
    </row>
    <row r="334" spans="1:4" ht="25.5">
      <c r="A334" s="78"/>
      <c r="B334" s="5" t="s">
        <v>51</v>
      </c>
      <c r="C334" s="20">
        <f>C337+C338+C339+C341+C344</f>
        <v>16501.9</v>
      </c>
      <c r="D334" s="20">
        <f>D337+D338+D339+D341+D344</f>
        <v>14362.100000000002</v>
      </c>
    </row>
    <row r="335" spans="1:4" ht="38.25">
      <c r="A335" s="78"/>
      <c r="B335" s="5" t="s">
        <v>56</v>
      </c>
      <c r="C335" s="20">
        <f>C336</f>
        <v>604.8</v>
      </c>
      <c r="D335" s="20">
        <f>D336</f>
        <v>603.1999999999999</v>
      </c>
    </row>
    <row r="336" spans="1:4" ht="12.75">
      <c r="A336" s="79"/>
      <c r="B336" s="5" t="s">
        <v>54</v>
      </c>
      <c r="C336" s="20">
        <f>C343+C342+C340</f>
        <v>604.8</v>
      </c>
      <c r="D336" s="20">
        <f>D343+D342+D340</f>
        <v>603.1999999999999</v>
      </c>
    </row>
    <row r="337" spans="1:4" ht="25.5">
      <c r="A337" s="48" t="s">
        <v>21</v>
      </c>
      <c r="B337" s="4" t="s">
        <v>51</v>
      </c>
      <c r="C337" s="16">
        <f>19798.2-'4 месяца'!C336</f>
        <v>13304.900000000001</v>
      </c>
      <c r="D337" s="16">
        <f>17658.5-'4 месяца'!D336</f>
        <v>11165.2</v>
      </c>
    </row>
    <row r="338" spans="1:4" ht="25.5">
      <c r="A338" s="48" t="s">
        <v>22</v>
      </c>
      <c r="B338" s="4" t="s">
        <v>51</v>
      </c>
      <c r="C338" s="16">
        <f>5203.7-'4 месяца'!C337</f>
        <v>3197</v>
      </c>
      <c r="D338" s="16">
        <f>5203.6-'4 месяца'!D337</f>
        <v>3196.9000000000005</v>
      </c>
    </row>
    <row r="339" spans="1:4" ht="25.5" hidden="1">
      <c r="A339" s="48" t="s">
        <v>23</v>
      </c>
      <c r="B339" s="4" t="s">
        <v>51</v>
      </c>
      <c r="C339" s="16"/>
      <c r="D339" s="16"/>
    </row>
    <row r="340" spans="1:4" ht="38.25">
      <c r="A340" s="40" t="s">
        <v>212</v>
      </c>
      <c r="B340" s="4" t="s">
        <v>54</v>
      </c>
      <c r="C340" s="16">
        <f>669.4-'4 месяца'!C339</f>
        <v>604.8</v>
      </c>
      <c r="D340" s="16">
        <f>667.8-'4 месяца'!D339</f>
        <v>603.1999999999999</v>
      </c>
    </row>
    <row r="341" spans="1:4" ht="38.25" customHeight="1" hidden="1">
      <c r="A341" s="73" t="s">
        <v>174</v>
      </c>
      <c r="B341" s="4" t="s">
        <v>51</v>
      </c>
      <c r="C341" s="16"/>
      <c r="D341" s="16"/>
    </row>
    <row r="342" spans="1:4" ht="12.75" hidden="1">
      <c r="A342" s="74"/>
      <c r="B342" s="4" t="s">
        <v>54</v>
      </c>
      <c r="C342" s="16"/>
      <c r="D342" s="16"/>
    </row>
    <row r="343" spans="1:4" ht="12.75" hidden="1">
      <c r="A343" s="73" t="s">
        <v>178</v>
      </c>
      <c r="B343" s="4" t="s">
        <v>54</v>
      </c>
      <c r="C343" s="16"/>
      <c r="D343" s="16"/>
    </row>
    <row r="344" spans="1:4" ht="25.5" hidden="1">
      <c r="A344" s="74"/>
      <c r="B344" s="4" t="s">
        <v>51</v>
      </c>
      <c r="C344" s="16"/>
      <c r="D344" s="16"/>
    </row>
    <row r="345" spans="1:4" ht="33.75" customHeight="1">
      <c r="A345" s="89" t="s">
        <v>44</v>
      </c>
      <c r="B345" s="5" t="s">
        <v>50</v>
      </c>
      <c r="C345" s="20">
        <f>C346+C347</f>
        <v>40484.1</v>
      </c>
      <c r="D345" s="20">
        <f>D346+D347</f>
        <v>34665.299999999996</v>
      </c>
    </row>
    <row r="346" spans="1:4" ht="25.5">
      <c r="A346" s="89"/>
      <c r="B346" s="5" t="s">
        <v>51</v>
      </c>
      <c r="C346" s="20">
        <f>C349+C350</f>
        <v>40484.1</v>
      </c>
      <c r="D346" s="20">
        <f>D349+D350</f>
        <v>34665.299999999996</v>
      </c>
    </row>
    <row r="347" spans="1:4" ht="38.25" hidden="1">
      <c r="A347" s="89"/>
      <c r="B347" s="5" t="s">
        <v>56</v>
      </c>
      <c r="C347" s="20">
        <f>C348</f>
        <v>0</v>
      </c>
      <c r="D347" s="20">
        <f>D348</f>
        <v>0</v>
      </c>
    </row>
    <row r="348" spans="1:4" ht="12.75" hidden="1">
      <c r="A348" s="54"/>
      <c r="B348" s="5" t="s">
        <v>54</v>
      </c>
      <c r="C348" s="20">
        <f>C351</f>
        <v>0</v>
      </c>
      <c r="D348" s="20">
        <f>D351</f>
        <v>0</v>
      </c>
    </row>
    <row r="349" spans="1:4" ht="38.25">
      <c r="A349" s="48" t="s">
        <v>175</v>
      </c>
      <c r="B349" s="4" t="s">
        <v>51</v>
      </c>
      <c r="C349" s="16">
        <f>54489.5-'4 месяца'!C348</f>
        <v>40484.1</v>
      </c>
      <c r="D349" s="16">
        <f>48670.7-'4 месяца'!D348</f>
        <v>34665.299999999996</v>
      </c>
    </row>
    <row r="350" spans="1:4" ht="75.75" customHeight="1" hidden="1">
      <c r="A350" s="73" t="s">
        <v>166</v>
      </c>
      <c r="B350" s="4" t="s">
        <v>51</v>
      </c>
      <c r="C350" s="16"/>
      <c r="D350" s="16"/>
    </row>
    <row r="351" spans="1:4" ht="12.75" hidden="1">
      <c r="A351" s="74"/>
      <c r="B351" s="4" t="s">
        <v>54</v>
      </c>
      <c r="C351" s="16"/>
      <c r="D351" s="16"/>
    </row>
    <row r="352" spans="1:4" ht="33.75" customHeight="1">
      <c r="A352" s="77" t="s">
        <v>45</v>
      </c>
      <c r="B352" s="5" t="s">
        <v>50</v>
      </c>
      <c r="C352" s="20">
        <f>C353+C354</f>
        <v>293344.9</v>
      </c>
      <c r="D352" s="20">
        <f>D353+D354</f>
        <v>292992.93999999994</v>
      </c>
    </row>
    <row r="353" spans="1:4" ht="25.5">
      <c r="A353" s="78"/>
      <c r="B353" s="5" t="s">
        <v>51</v>
      </c>
      <c r="C353" s="20">
        <f>C361+C363+C364+C365+C366+C362+C367</f>
        <v>151960.8</v>
      </c>
      <c r="D353" s="20">
        <f>D361+D363+D364+D365+D366+D362+D367</f>
        <v>151773.84</v>
      </c>
    </row>
    <row r="354" spans="1:4" ht="38.25">
      <c r="A354" s="78"/>
      <c r="B354" s="5" t="s">
        <v>56</v>
      </c>
      <c r="C354" s="20">
        <f>C355</f>
        <v>141384.1</v>
      </c>
      <c r="D354" s="20">
        <f>D355</f>
        <v>141219.09999999998</v>
      </c>
    </row>
    <row r="355" spans="1:4" ht="12.75">
      <c r="A355" s="79"/>
      <c r="B355" s="5" t="s">
        <v>54</v>
      </c>
      <c r="C355" s="20">
        <f>C368+C356+C357+C358+C359+C360</f>
        <v>141384.1</v>
      </c>
      <c r="D355" s="20">
        <f>D356+D357+D358+D359+D360+D368</f>
        <v>141219.09999999998</v>
      </c>
    </row>
    <row r="356" spans="1:4" ht="89.25">
      <c r="A356" s="68" t="s">
        <v>245</v>
      </c>
      <c r="B356" s="4" t="s">
        <v>54</v>
      </c>
      <c r="C356" s="23">
        <f>112161.6-'4 месяца'!C355</f>
        <v>55861.600000000006</v>
      </c>
      <c r="D356" s="23">
        <f>112108.9-'4 месяца'!D355</f>
        <v>55808.899999999994</v>
      </c>
    </row>
    <row r="357" spans="1:4" ht="89.25">
      <c r="A357" s="68" t="s">
        <v>246</v>
      </c>
      <c r="B357" s="4" t="s">
        <v>54</v>
      </c>
      <c r="C357" s="16">
        <f>40173.7-'4 месяца'!C356</f>
        <v>40173.7</v>
      </c>
      <c r="D357" s="16">
        <f>40173.4</f>
        <v>40173.4</v>
      </c>
    </row>
    <row r="358" spans="1:4" ht="89.25">
      <c r="A358" s="68" t="s">
        <v>247</v>
      </c>
      <c r="B358" s="4" t="s">
        <v>54</v>
      </c>
      <c r="C358" s="16">
        <f>21051.3-'4 месяца'!C357</f>
        <v>15195.9</v>
      </c>
      <c r="D358" s="16">
        <f>21002-'4 месяца'!D357</f>
        <v>15146.6</v>
      </c>
    </row>
    <row r="359" spans="1:4" ht="89.25">
      <c r="A359" s="68" t="s">
        <v>248</v>
      </c>
      <c r="B359" s="4" t="s">
        <v>54</v>
      </c>
      <c r="C359" s="16">
        <f>29342.5-'4 месяца'!C358</f>
        <v>21101.3</v>
      </c>
      <c r="D359" s="16">
        <f>29280.1-'4 месяца'!D358</f>
        <v>21038.899999999998</v>
      </c>
    </row>
    <row r="360" spans="1:4" ht="89.25">
      <c r="A360" s="68" t="s">
        <v>249</v>
      </c>
      <c r="B360" s="4" t="s">
        <v>54</v>
      </c>
      <c r="C360" s="16">
        <f>9672.9-'4 месяца'!C359</f>
        <v>9051.6</v>
      </c>
      <c r="D360" s="16">
        <f>9672.6-'4 месяца'!D359</f>
        <v>9051.300000000001</v>
      </c>
    </row>
    <row r="361" spans="1:4" ht="51" hidden="1">
      <c r="A361" s="48" t="s">
        <v>213</v>
      </c>
      <c r="B361" s="4" t="s">
        <v>51</v>
      </c>
      <c r="C361" s="16">
        <f>328.5-'4 месяца'!C360</f>
        <v>0</v>
      </c>
      <c r="D361" s="16">
        <f>328.5-'4 месяца'!D360</f>
        <v>0</v>
      </c>
    </row>
    <row r="362" spans="1:4" ht="51" hidden="1">
      <c r="A362" s="48" t="s">
        <v>176</v>
      </c>
      <c r="B362" s="4" t="s">
        <v>51</v>
      </c>
      <c r="C362" s="16"/>
      <c r="D362" s="16"/>
    </row>
    <row r="363" spans="1:4" ht="38.25">
      <c r="A363" s="48" t="s">
        <v>177</v>
      </c>
      <c r="B363" s="4" t="s">
        <v>51</v>
      </c>
      <c r="C363" s="16">
        <f>2243.2-'4 месяца'!C362</f>
        <v>1495.4999999999998</v>
      </c>
      <c r="D363" s="16">
        <f>2056.24-'4 месяца'!D362</f>
        <v>1308.5399999999997</v>
      </c>
    </row>
    <row r="364" spans="1:4" ht="51" hidden="1">
      <c r="A364" s="48" t="s">
        <v>192</v>
      </c>
      <c r="B364" s="4" t="s">
        <v>51</v>
      </c>
      <c r="C364" s="16"/>
      <c r="D364" s="16"/>
    </row>
    <row r="365" spans="1:4" ht="38.25">
      <c r="A365" s="48" t="s">
        <v>193</v>
      </c>
      <c r="B365" s="4" t="s">
        <v>51</v>
      </c>
      <c r="C365" s="16">
        <f>141293.9-'4 месяца'!C364</f>
        <v>141290.9</v>
      </c>
      <c r="D365" s="16">
        <f>141293.9-'4 месяца'!D364</f>
        <v>141290.9</v>
      </c>
    </row>
    <row r="366" spans="1:4" ht="51">
      <c r="A366" s="48" t="s">
        <v>194</v>
      </c>
      <c r="B366" s="4" t="s">
        <v>51</v>
      </c>
      <c r="C366" s="16">
        <f>3576.6-'4 месяца'!C365</f>
        <v>2644</v>
      </c>
      <c r="D366" s="16">
        <f>3576.6-'4 месяца'!D365</f>
        <v>2644</v>
      </c>
    </row>
    <row r="367" spans="1:4" ht="51">
      <c r="A367" s="48" t="s">
        <v>264</v>
      </c>
      <c r="B367" s="4" t="s">
        <v>51</v>
      </c>
      <c r="C367" s="16">
        <v>6530.4</v>
      </c>
      <c r="D367" s="16">
        <v>6530.4</v>
      </c>
    </row>
    <row r="368" spans="1:4" ht="51.75" customHeight="1" hidden="1">
      <c r="A368" s="48" t="s">
        <v>195</v>
      </c>
      <c r="B368" s="4" t="s">
        <v>54</v>
      </c>
      <c r="C368" s="16"/>
      <c r="D368" s="16"/>
    </row>
    <row r="369" spans="1:4" ht="33.75" customHeight="1">
      <c r="A369" s="89" t="s">
        <v>46</v>
      </c>
      <c r="B369" s="5" t="s">
        <v>50</v>
      </c>
      <c r="C369" s="20">
        <f>C370</f>
        <v>2180.9</v>
      </c>
      <c r="D369" s="20">
        <f>D370</f>
        <v>2086.4</v>
      </c>
    </row>
    <row r="370" spans="1:4" ht="25.5">
      <c r="A370" s="89"/>
      <c r="B370" s="5" t="s">
        <v>51</v>
      </c>
      <c r="C370" s="20">
        <f>C372</f>
        <v>2180.9</v>
      </c>
      <c r="D370" s="20">
        <f>D372</f>
        <v>2086.4</v>
      </c>
    </row>
    <row r="371" spans="1:4" ht="38.25" hidden="1">
      <c r="A371" s="89"/>
      <c r="B371" s="5" t="s">
        <v>56</v>
      </c>
      <c r="C371" s="20">
        <v>0</v>
      </c>
      <c r="D371" s="20">
        <v>0</v>
      </c>
    </row>
    <row r="372" spans="1:4" ht="25.5">
      <c r="A372" s="48" t="s">
        <v>24</v>
      </c>
      <c r="B372" s="4" t="s">
        <v>51</v>
      </c>
      <c r="C372" s="16">
        <f>3269.3-'4 месяца'!C371</f>
        <v>2180.9</v>
      </c>
      <c r="D372" s="16">
        <f>3174.8-'4 месяца'!D371</f>
        <v>2086.4</v>
      </c>
    </row>
    <row r="373" spans="1:4" ht="33.75" customHeight="1">
      <c r="A373" s="89" t="s">
        <v>47</v>
      </c>
      <c r="B373" s="5" t="s">
        <v>50</v>
      </c>
      <c r="C373" s="20">
        <f>C374</f>
        <v>2311.6</v>
      </c>
      <c r="D373" s="20">
        <f>D374</f>
        <v>0</v>
      </c>
    </row>
    <row r="374" spans="1:4" ht="25.5">
      <c r="A374" s="89"/>
      <c r="B374" s="5" t="s">
        <v>51</v>
      </c>
      <c r="C374" s="20">
        <f>C376+C377</f>
        <v>2311.6</v>
      </c>
      <c r="D374" s="20">
        <f>D376+D377</f>
        <v>0</v>
      </c>
    </row>
    <row r="375" spans="1:4" ht="38.25" hidden="1">
      <c r="A375" s="89"/>
      <c r="B375" s="5" t="s">
        <v>56</v>
      </c>
      <c r="C375" s="20">
        <v>0</v>
      </c>
      <c r="D375" s="20">
        <v>0</v>
      </c>
    </row>
    <row r="376" spans="1:4" ht="38.25">
      <c r="A376" s="48" t="s">
        <v>99</v>
      </c>
      <c r="B376" s="4" t="s">
        <v>51</v>
      </c>
      <c r="C376" s="16">
        <f>2311.6-'4 месяца'!C375</f>
        <v>2311.6</v>
      </c>
      <c r="D376" s="16">
        <v>0</v>
      </c>
    </row>
    <row r="377" spans="1:4" ht="25.5" hidden="1">
      <c r="A377" s="48" t="s">
        <v>232</v>
      </c>
      <c r="B377" s="4" t="s">
        <v>51</v>
      </c>
      <c r="C377" s="16"/>
      <c r="D377" s="16"/>
    </row>
    <row r="378" spans="1:4" ht="38.25" customHeight="1">
      <c r="A378" s="80" t="s">
        <v>90</v>
      </c>
      <c r="B378" s="3" t="s">
        <v>50</v>
      </c>
      <c r="C378" s="14">
        <f>C379+C380</f>
        <v>293983.80000000005</v>
      </c>
      <c r="D378" s="14">
        <f>D379+D380</f>
        <v>246417.74000000002</v>
      </c>
    </row>
    <row r="379" spans="1:4" ht="25.5">
      <c r="A379" s="81"/>
      <c r="B379" s="3" t="s">
        <v>51</v>
      </c>
      <c r="C379" s="14">
        <f>C385+C391+C394+C389+C384+C404</f>
        <v>21122.4</v>
      </c>
      <c r="D379" s="14">
        <f>D385+D391+D394+D389+D384+D404</f>
        <v>21123.4</v>
      </c>
    </row>
    <row r="380" spans="1:4" ht="51">
      <c r="A380" s="81"/>
      <c r="B380" s="3" t="s">
        <v>101</v>
      </c>
      <c r="C380" s="14">
        <f>C381+C382+C383</f>
        <v>272861.4</v>
      </c>
      <c r="D380" s="14">
        <f>D381+D382+D383</f>
        <v>225294.34000000003</v>
      </c>
    </row>
    <row r="381" spans="1:10" ht="12.75">
      <c r="A381" s="81"/>
      <c r="B381" s="3" t="s">
        <v>52</v>
      </c>
      <c r="C381" s="14">
        <f>C387+C390+C392+C395+C386</f>
        <v>67579.5</v>
      </c>
      <c r="D381" s="14">
        <f>D387+D390+D392+D395+D386</f>
        <v>64590.44</v>
      </c>
      <c r="J381" s="66"/>
    </row>
    <row r="382" spans="1:4" ht="12.75">
      <c r="A382" s="81"/>
      <c r="B382" s="3" t="s">
        <v>54</v>
      </c>
      <c r="C382" s="14">
        <f>C403+C388+C393+C396</f>
        <v>22644.9</v>
      </c>
      <c r="D382" s="14">
        <f>D403+D388+D393+D396</f>
        <v>17720.7</v>
      </c>
    </row>
    <row r="383" spans="1:4" ht="25.5">
      <c r="A383" s="82"/>
      <c r="B383" s="3" t="s">
        <v>143</v>
      </c>
      <c r="C383" s="14">
        <f>C402</f>
        <v>182637</v>
      </c>
      <c r="D383" s="14">
        <f>D402</f>
        <v>142983.2</v>
      </c>
    </row>
    <row r="384" spans="1:4" ht="48.75" customHeight="1" hidden="1">
      <c r="A384" s="56" t="s">
        <v>222</v>
      </c>
      <c r="B384" s="10" t="s">
        <v>51</v>
      </c>
      <c r="C384" s="23"/>
      <c r="D384" s="23"/>
    </row>
    <row r="385" spans="1:4" ht="35.25" customHeight="1" hidden="1">
      <c r="A385" s="49" t="s">
        <v>25</v>
      </c>
      <c r="B385" s="10" t="s">
        <v>51</v>
      </c>
      <c r="C385" s="21"/>
      <c r="D385" s="21"/>
    </row>
    <row r="386" spans="1:4" ht="78.75" customHeight="1" hidden="1">
      <c r="A386" s="72" t="s">
        <v>254</v>
      </c>
      <c r="B386" s="10" t="s">
        <v>52</v>
      </c>
      <c r="C386" s="21"/>
      <c r="D386" s="21"/>
    </row>
    <row r="387" spans="1:4" ht="16.5" customHeight="1">
      <c r="A387" s="103" t="s">
        <v>26</v>
      </c>
      <c r="B387" s="10" t="s">
        <v>52</v>
      </c>
      <c r="C387" s="21">
        <f>5626.4</f>
        <v>5626.4</v>
      </c>
      <c r="D387" s="21">
        <v>4462.3</v>
      </c>
    </row>
    <row r="388" spans="1:4" ht="37.5" customHeight="1">
      <c r="A388" s="104"/>
      <c r="B388" s="10" t="s">
        <v>54</v>
      </c>
      <c r="C388" s="21">
        <f>1152.4+1402.5</f>
        <v>2554.9</v>
      </c>
      <c r="D388" s="21">
        <f>913.9+1402.5</f>
        <v>2316.4</v>
      </c>
    </row>
    <row r="389" spans="1:4" ht="37.5" customHeight="1" hidden="1">
      <c r="A389" s="94"/>
      <c r="B389" s="10" t="s">
        <v>51</v>
      </c>
      <c r="C389" s="21"/>
      <c r="D389" s="21"/>
    </row>
    <row r="390" spans="1:10" ht="38.25">
      <c r="A390" s="49" t="s">
        <v>27</v>
      </c>
      <c r="B390" s="10" t="s">
        <v>52</v>
      </c>
      <c r="C390" s="21">
        <f>60137.5-'4 месяца'!C389</f>
        <v>60137.5</v>
      </c>
      <c r="D390" s="21">
        <v>59962.54</v>
      </c>
      <c r="F390" s="58">
        <v>11578803</v>
      </c>
      <c r="J390" s="66"/>
    </row>
    <row r="391" spans="1:4" ht="25.5">
      <c r="A391" s="92" t="s">
        <v>157</v>
      </c>
      <c r="B391" s="10" t="s">
        <v>51</v>
      </c>
      <c r="C391" s="21">
        <v>209.9</v>
      </c>
      <c r="D391" s="21">
        <v>209.9</v>
      </c>
    </row>
    <row r="392" spans="1:10" ht="12.75">
      <c r="A392" s="93"/>
      <c r="B392" s="10" t="s">
        <v>52</v>
      </c>
      <c r="C392" s="21">
        <v>165.6</v>
      </c>
      <c r="D392" s="21">
        <v>165.6</v>
      </c>
      <c r="E392" s="62"/>
      <c r="F392" s="62">
        <v>173792.44</v>
      </c>
      <c r="G392" s="62"/>
      <c r="H392" s="62"/>
      <c r="J392" s="66"/>
    </row>
    <row r="393" spans="1:4" ht="21" customHeight="1">
      <c r="A393" s="94"/>
      <c r="B393" s="10" t="s">
        <v>54</v>
      </c>
      <c r="C393" s="21">
        <v>263.7</v>
      </c>
      <c r="D393" s="21">
        <v>263.7</v>
      </c>
    </row>
    <row r="394" spans="1:4" ht="31.5" customHeight="1" hidden="1">
      <c r="A394" s="92" t="s">
        <v>221</v>
      </c>
      <c r="B394" s="10" t="s">
        <v>51</v>
      </c>
      <c r="C394" s="21"/>
      <c r="D394" s="21"/>
    </row>
    <row r="395" spans="1:10" ht="33" customHeight="1">
      <c r="A395" s="96"/>
      <c r="B395" s="10" t="s">
        <v>52</v>
      </c>
      <c r="C395" s="21">
        <v>1650</v>
      </c>
      <c r="D395" s="21">
        <v>0</v>
      </c>
      <c r="J395" s="66"/>
    </row>
    <row r="396" spans="1:4" ht="42" customHeight="1" hidden="1">
      <c r="A396" s="49" t="s">
        <v>158</v>
      </c>
      <c r="B396" s="10" t="s">
        <v>54</v>
      </c>
      <c r="C396" s="21"/>
      <c r="D396" s="21"/>
    </row>
    <row r="397" spans="1:6" ht="48" customHeight="1">
      <c r="A397" s="100" t="s">
        <v>191</v>
      </c>
      <c r="B397" s="27" t="s">
        <v>50</v>
      </c>
      <c r="C397" s="28">
        <f>C399+C398</f>
        <v>223375.8</v>
      </c>
      <c r="D397" s="28">
        <f>D399+D398</f>
        <v>179037.30000000002</v>
      </c>
      <c r="E397" s="58">
        <v>133286676.97</v>
      </c>
      <c r="F397" s="58">
        <v>59310167.77</v>
      </c>
    </row>
    <row r="398" spans="1:4" ht="25.5">
      <c r="A398" s="101"/>
      <c r="B398" s="38" t="s">
        <v>51</v>
      </c>
      <c r="C398" s="28">
        <f>C404</f>
        <v>20912.5</v>
      </c>
      <c r="D398" s="28">
        <f>D404</f>
        <v>20913.5</v>
      </c>
    </row>
    <row r="399" spans="1:4" ht="38.25">
      <c r="A399" s="101"/>
      <c r="B399" s="27" t="s">
        <v>56</v>
      </c>
      <c r="C399" s="28">
        <f>C400+C401</f>
        <v>202463.3</v>
      </c>
      <c r="D399" s="28">
        <f>D400+D401</f>
        <v>158123.80000000002</v>
      </c>
    </row>
    <row r="400" spans="1:4" ht="12.75">
      <c r="A400" s="101"/>
      <c r="B400" s="27" t="s">
        <v>54</v>
      </c>
      <c r="C400" s="28">
        <f>C403</f>
        <v>19826.3</v>
      </c>
      <c r="D400" s="28">
        <f>D403</f>
        <v>15140.599999999999</v>
      </c>
    </row>
    <row r="401" spans="1:4" ht="25.5">
      <c r="A401" s="102"/>
      <c r="B401" s="27" t="s">
        <v>143</v>
      </c>
      <c r="C401" s="28">
        <f>C402</f>
        <v>182637</v>
      </c>
      <c r="D401" s="28">
        <f>D402</f>
        <v>142983.2</v>
      </c>
    </row>
    <row r="402" spans="1:4" ht="33" customHeight="1">
      <c r="A402" s="92" t="s">
        <v>100</v>
      </c>
      <c r="B402" s="10" t="s">
        <v>143</v>
      </c>
      <c r="C402" s="21">
        <f>208220.3-'4 месяца'!C401</f>
        <v>182637</v>
      </c>
      <c r="D402" s="21">
        <f>168566.5-'4 месяца'!D401</f>
        <v>142983.2</v>
      </c>
    </row>
    <row r="403" spans="1:4" ht="25.5" customHeight="1">
      <c r="A403" s="93"/>
      <c r="B403" s="10" t="s">
        <v>54</v>
      </c>
      <c r="C403" s="21">
        <f>24699.3-'4 месяца'!C402</f>
        <v>19826.3</v>
      </c>
      <c r="D403" s="21">
        <f>20013.6-'4 месяца'!D402</f>
        <v>15140.599999999999</v>
      </c>
    </row>
    <row r="404" spans="1:4" ht="28.5" customHeight="1">
      <c r="A404" s="96"/>
      <c r="B404" s="10" t="s">
        <v>51</v>
      </c>
      <c r="C404" s="21">
        <f>25282.5-'4 месяца'!C403</f>
        <v>20912.5</v>
      </c>
      <c r="D404" s="21">
        <f>25282.5-'4 месяца'!D403</f>
        <v>20913.5</v>
      </c>
    </row>
    <row r="405" spans="1:5" ht="38.25" customHeight="1">
      <c r="A405" s="95" t="s">
        <v>91</v>
      </c>
      <c r="B405" s="3" t="s">
        <v>50</v>
      </c>
      <c r="C405" s="14">
        <f>C406+C407</f>
        <v>6438.299999999999</v>
      </c>
      <c r="D405" s="14">
        <f>D406+D407</f>
        <v>6366.899999999999</v>
      </c>
      <c r="E405" s="58">
        <v>0.1</v>
      </c>
    </row>
    <row r="406" spans="1:4" ht="60" customHeight="1">
      <c r="A406" s="95"/>
      <c r="B406" s="3" t="s">
        <v>51</v>
      </c>
      <c r="C406" s="14">
        <f>C408+C409+C410+C411+C412+C413+C414</f>
        <v>6438.299999999999</v>
      </c>
      <c r="D406" s="14">
        <f>D408+D409+D410+D411+D412+D413</f>
        <v>6366.899999999999</v>
      </c>
    </row>
    <row r="407" spans="1:4" ht="38.25" hidden="1">
      <c r="A407" s="95"/>
      <c r="B407" s="3" t="s">
        <v>56</v>
      </c>
      <c r="C407" s="14">
        <v>0</v>
      </c>
      <c r="D407" s="14">
        <v>0</v>
      </c>
    </row>
    <row r="408" spans="1:4" ht="25.5">
      <c r="A408" s="48" t="s">
        <v>92</v>
      </c>
      <c r="B408" s="4" t="s">
        <v>51</v>
      </c>
      <c r="C408" s="16">
        <f>389.5-'4 месяца'!C407</f>
        <v>230.3</v>
      </c>
      <c r="D408" s="16">
        <f>389.3-'4 месяца'!D407</f>
        <v>230.10000000000002</v>
      </c>
    </row>
    <row r="409" spans="1:4" ht="25.5">
      <c r="A409" s="48" t="s">
        <v>93</v>
      </c>
      <c r="B409" s="4" t="s">
        <v>51</v>
      </c>
      <c r="C409" s="16">
        <f>186.5-'4 месяца'!C408</f>
        <v>174.9</v>
      </c>
      <c r="D409" s="16">
        <f>186.4-'4 месяца'!D408</f>
        <v>174.8</v>
      </c>
    </row>
    <row r="410" spans="1:4" ht="25.5">
      <c r="A410" s="48" t="s">
        <v>28</v>
      </c>
      <c r="B410" s="4" t="s">
        <v>51</v>
      </c>
      <c r="C410" s="16">
        <f>8683.9-'4 месяца'!C409</f>
        <v>5831.4</v>
      </c>
      <c r="D410" s="16">
        <f>8612.9-'4 месяца'!D409</f>
        <v>5760.4</v>
      </c>
    </row>
    <row r="411" spans="1:4" ht="25.5">
      <c r="A411" s="48" t="s">
        <v>214</v>
      </c>
      <c r="B411" s="4" t="s">
        <v>51</v>
      </c>
      <c r="C411" s="16">
        <f>134.9-'4 месяца'!C410</f>
        <v>105.4</v>
      </c>
      <c r="D411" s="16">
        <f>134.9-'4 месяца'!D410</f>
        <v>105.4</v>
      </c>
    </row>
    <row r="412" spans="1:4" ht="25.5">
      <c r="A412" s="40" t="s">
        <v>183</v>
      </c>
      <c r="B412" s="4" t="s">
        <v>51</v>
      </c>
      <c r="C412" s="16">
        <f>96.3-'4 месяца'!C411</f>
        <v>96.3</v>
      </c>
      <c r="D412" s="16">
        <f>96.2</f>
        <v>96.2</v>
      </c>
    </row>
    <row r="413" spans="1:4" ht="38.25" hidden="1">
      <c r="A413" s="40" t="s">
        <v>224</v>
      </c>
      <c r="B413" s="4" t="s">
        <v>51</v>
      </c>
      <c r="C413" s="16"/>
      <c r="D413" s="16"/>
    </row>
    <row r="414" spans="1:4" ht="51" hidden="1">
      <c r="A414" s="40" t="s">
        <v>250</v>
      </c>
      <c r="B414" s="4" t="s">
        <v>51</v>
      </c>
      <c r="C414" s="16">
        <v>0</v>
      </c>
      <c r="D414" s="16"/>
    </row>
    <row r="415" spans="1:4" ht="29.25" customHeight="1">
      <c r="A415" s="80" t="s">
        <v>154</v>
      </c>
      <c r="B415" s="3" t="s">
        <v>50</v>
      </c>
      <c r="C415" s="14">
        <f>C416+C418</f>
        <v>13413.6</v>
      </c>
      <c r="D415" s="14">
        <f>D416+D418</f>
        <v>13413.5</v>
      </c>
    </row>
    <row r="416" spans="1:4" ht="21.75" customHeight="1">
      <c r="A416" s="81"/>
      <c r="B416" s="87" t="s">
        <v>51</v>
      </c>
      <c r="C416" s="75">
        <f>C422+C423+C425</f>
        <v>1442.6</v>
      </c>
      <c r="D416" s="75">
        <f>D422+D423+D425</f>
        <v>1442.5</v>
      </c>
    </row>
    <row r="417" spans="1:4" ht="12.75">
      <c r="A417" s="81"/>
      <c r="B417" s="88"/>
      <c r="C417" s="76"/>
      <c r="D417" s="76"/>
    </row>
    <row r="418" spans="1:4" ht="56.25" customHeight="1">
      <c r="A418" s="90"/>
      <c r="B418" s="3" t="s">
        <v>101</v>
      </c>
      <c r="C418" s="18">
        <f>C419+C420+C421</f>
        <v>11971</v>
      </c>
      <c r="D418" s="18">
        <f>D419+D420+D421</f>
        <v>11971</v>
      </c>
    </row>
    <row r="419" spans="1:4" ht="13.5" customHeight="1">
      <c r="A419" s="90"/>
      <c r="B419" s="3" t="s">
        <v>52</v>
      </c>
      <c r="C419" s="18">
        <f>C430+C433</f>
        <v>11611.9</v>
      </c>
      <c r="D419" s="18">
        <f>D430+D433</f>
        <v>11611.9</v>
      </c>
    </row>
    <row r="420" spans="1:4" ht="18.75" customHeight="1">
      <c r="A420" s="90"/>
      <c r="B420" s="3" t="s">
        <v>54</v>
      </c>
      <c r="C420" s="18">
        <f>C431+C434</f>
        <v>359.1</v>
      </c>
      <c r="D420" s="18">
        <f>D431+D434</f>
        <v>359.1</v>
      </c>
    </row>
    <row r="421" spans="1:4" ht="30" customHeight="1">
      <c r="A421" s="91"/>
      <c r="B421" s="3" t="s">
        <v>165</v>
      </c>
      <c r="C421" s="18">
        <v>0</v>
      </c>
      <c r="D421" s="18">
        <v>0</v>
      </c>
    </row>
    <row r="422" spans="1:4" ht="42" customHeight="1">
      <c r="A422" s="51" t="s">
        <v>179</v>
      </c>
      <c r="B422" s="4" t="s">
        <v>51</v>
      </c>
      <c r="C422" s="24">
        <f>163.5-'4 месяца'!C421</f>
        <v>163.5</v>
      </c>
      <c r="D422" s="23">
        <v>163.5</v>
      </c>
    </row>
    <row r="423" spans="1:4" ht="39" customHeight="1">
      <c r="A423" s="51" t="s">
        <v>230</v>
      </c>
      <c r="B423" s="4" t="s">
        <v>51</v>
      </c>
      <c r="C423" s="24">
        <f>126.7-'4 месяца'!C422</f>
        <v>82</v>
      </c>
      <c r="D423" s="24">
        <f>126.6-'4 месяца'!D422</f>
        <v>81.89999999999999</v>
      </c>
    </row>
    <row r="424" spans="1:6" ht="40.5" customHeight="1">
      <c r="A424" s="97" t="s">
        <v>187</v>
      </c>
      <c r="B424" s="27" t="s">
        <v>50</v>
      </c>
      <c r="C424" s="29">
        <f>C425+C426</f>
        <v>13168.1</v>
      </c>
      <c r="D424" s="29">
        <f>D425+D426</f>
        <v>13168.1</v>
      </c>
      <c r="E424" s="58">
        <v>16535400</v>
      </c>
      <c r="F424" s="58">
        <v>16535400</v>
      </c>
    </row>
    <row r="425" spans="1:4" ht="33" customHeight="1">
      <c r="A425" s="98"/>
      <c r="B425" s="27" t="s">
        <v>51</v>
      </c>
      <c r="C425" s="29">
        <f>C429+C432</f>
        <v>1197.1</v>
      </c>
      <c r="D425" s="29">
        <f>D429+D432</f>
        <v>1197.1</v>
      </c>
    </row>
    <row r="426" spans="1:4" ht="59.25" customHeight="1">
      <c r="A426" s="98"/>
      <c r="B426" s="27" t="s">
        <v>101</v>
      </c>
      <c r="C426" s="29">
        <f>C427+C428</f>
        <v>11971</v>
      </c>
      <c r="D426" s="29">
        <f>D427+D428</f>
        <v>11971</v>
      </c>
    </row>
    <row r="427" spans="1:35" ht="15.75" customHeight="1">
      <c r="A427" s="98"/>
      <c r="B427" s="27" t="s">
        <v>52</v>
      </c>
      <c r="C427" s="29">
        <f>C430+C433</f>
        <v>11611.9</v>
      </c>
      <c r="D427" s="29">
        <f>D430+D433</f>
        <v>11611.9</v>
      </c>
      <c r="E427" s="62"/>
      <c r="F427" s="62"/>
      <c r="G427" s="62"/>
      <c r="H427" s="62"/>
      <c r="AI427" s="63"/>
    </row>
    <row r="428" spans="1:4" ht="12.75" customHeight="1">
      <c r="A428" s="99"/>
      <c r="B428" s="27" t="s">
        <v>54</v>
      </c>
      <c r="C428" s="29">
        <f>C431+C434</f>
        <v>359.1</v>
      </c>
      <c r="D428" s="29">
        <f>D431+D434</f>
        <v>359.1</v>
      </c>
    </row>
    <row r="429" spans="1:4" ht="25.5">
      <c r="A429" s="73" t="s">
        <v>155</v>
      </c>
      <c r="B429" s="4" t="s">
        <v>51</v>
      </c>
      <c r="C429" s="21">
        <v>340</v>
      </c>
      <c r="D429" s="21">
        <v>340</v>
      </c>
    </row>
    <row r="430" spans="1:4" ht="12.75">
      <c r="A430" s="86"/>
      <c r="B430" s="4" t="s">
        <v>52</v>
      </c>
      <c r="C430" s="26">
        <v>3298</v>
      </c>
      <c r="D430" s="21">
        <v>3298</v>
      </c>
    </row>
    <row r="431" spans="1:4" ht="12.75">
      <c r="A431" s="86"/>
      <c r="B431" s="4" t="s">
        <v>54</v>
      </c>
      <c r="C431" s="26">
        <v>102</v>
      </c>
      <c r="D431" s="21">
        <v>102</v>
      </c>
    </row>
    <row r="432" spans="1:4" ht="25.5">
      <c r="A432" s="73" t="s">
        <v>156</v>
      </c>
      <c r="B432" s="4" t="s">
        <v>51</v>
      </c>
      <c r="C432" s="21">
        <v>857.1</v>
      </c>
      <c r="D432" s="21">
        <v>857.1</v>
      </c>
    </row>
    <row r="433" spans="1:4" ht="12.75">
      <c r="A433" s="86"/>
      <c r="B433" s="4" t="s">
        <v>52</v>
      </c>
      <c r="C433" s="26">
        <v>8313.9</v>
      </c>
      <c r="D433" s="21">
        <v>8313.9</v>
      </c>
    </row>
    <row r="434" spans="1:4" ht="12.75">
      <c r="A434" s="74"/>
      <c r="B434" s="4" t="s">
        <v>54</v>
      </c>
      <c r="C434" s="26">
        <v>257.1</v>
      </c>
      <c r="D434" s="21">
        <v>257.1</v>
      </c>
    </row>
    <row r="435" spans="1:4" ht="38.25" customHeight="1">
      <c r="A435" s="95" t="s">
        <v>94</v>
      </c>
      <c r="B435" s="3" t="s">
        <v>50</v>
      </c>
      <c r="C435" s="14">
        <f>C436+C437</f>
        <v>18.1</v>
      </c>
      <c r="D435" s="14">
        <f>D436+D437</f>
        <v>15.8</v>
      </c>
    </row>
    <row r="436" spans="1:4" ht="26.25" customHeight="1">
      <c r="A436" s="95"/>
      <c r="B436" s="87" t="s">
        <v>51</v>
      </c>
      <c r="C436" s="75">
        <f>C439+C438</f>
        <v>18.1</v>
      </c>
      <c r="D436" s="75">
        <f>D439+D438</f>
        <v>15.8</v>
      </c>
    </row>
    <row r="437" spans="1:4" ht="12.75">
      <c r="A437" s="95"/>
      <c r="B437" s="88"/>
      <c r="C437" s="76"/>
      <c r="D437" s="76"/>
    </row>
    <row r="438" spans="1:4" ht="25.5" hidden="1">
      <c r="A438" s="50" t="s">
        <v>215</v>
      </c>
      <c r="B438" s="4" t="s">
        <v>51</v>
      </c>
      <c r="C438" s="24"/>
      <c r="D438" s="24"/>
    </row>
    <row r="439" spans="1:4" ht="25.5">
      <c r="A439" s="48" t="s">
        <v>29</v>
      </c>
      <c r="B439" s="4" t="s">
        <v>51</v>
      </c>
      <c r="C439" s="16">
        <f>21.6-'4 месяца'!C438</f>
        <v>18.1</v>
      </c>
      <c r="D439" s="16">
        <f>19.3-'4 месяца'!D438</f>
        <v>15.8</v>
      </c>
    </row>
    <row r="440" spans="1:4" ht="38.25" customHeight="1">
      <c r="A440" s="95" t="s">
        <v>216</v>
      </c>
      <c r="B440" s="3" t="s">
        <v>50</v>
      </c>
      <c r="C440" s="14">
        <f>C441+C442</f>
        <v>9</v>
      </c>
      <c r="D440" s="14">
        <f>D441+D442</f>
        <v>9</v>
      </c>
    </row>
    <row r="441" spans="1:4" ht="26.25" customHeight="1">
      <c r="A441" s="95"/>
      <c r="B441" s="87" t="s">
        <v>51</v>
      </c>
      <c r="C441" s="75">
        <f>C446+C443+C444+C445</f>
        <v>9</v>
      </c>
      <c r="D441" s="75">
        <f>D446+D443+D444+D445</f>
        <v>9</v>
      </c>
    </row>
    <row r="442" spans="1:4" ht="12.75">
      <c r="A442" s="95"/>
      <c r="B442" s="88"/>
      <c r="C442" s="76"/>
      <c r="D442" s="76"/>
    </row>
    <row r="443" spans="1:4" ht="25.5" hidden="1">
      <c r="A443" s="50" t="s">
        <v>217</v>
      </c>
      <c r="B443" s="4" t="s">
        <v>51</v>
      </c>
      <c r="C443" s="24"/>
      <c r="D443" s="24"/>
    </row>
    <row r="444" spans="1:4" ht="25.5" hidden="1">
      <c r="A444" s="48" t="s">
        <v>218</v>
      </c>
      <c r="B444" s="4" t="s">
        <v>51</v>
      </c>
      <c r="C444" s="16"/>
      <c r="D444" s="16"/>
    </row>
    <row r="445" spans="1:4" ht="25.5" hidden="1">
      <c r="A445" s="50" t="s">
        <v>219</v>
      </c>
      <c r="B445" s="4" t="s">
        <v>51</v>
      </c>
      <c r="C445" s="24"/>
      <c r="D445" s="24"/>
    </row>
    <row r="446" spans="1:4" ht="25.5">
      <c r="A446" s="48" t="s">
        <v>220</v>
      </c>
      <c r="B446" s="4" t="s">
        <v>51</v>
      </c>
      <c r="C446" s="16">
        <f>9-'4 месяца'!C445</f>
        <v>9</v>
      </c>
      <c r="D446" s="16">
        <v>9</v>
      </c>
    </row>
    <row r="447" ht="12.75">
      <c r="B447" s="7"/>
    </row>
    <row r="448" ht="12.75">
      <c r="B448" s="7"/>
    </row>
    <row r="449" ht="12.75">
      <c r="B449" s="7"/>
    </row>
    <row r="451" ht="12.75">
      <c r="E451" s="60"/>
    </row>
  </sheetData>
  <sheetProtection/>
  <mergeCells count="99">
    <mergeCell ref="A121:A122"/>
    <mergeCell ref="B1:D1"/>
    <mergeCell ref="B2:D2"/>
    <mergeCell ref="B3:D3"/>
    <mergeCell ref="B4:D4"/>
    <mergeCell ref="A7:D7"/>
    <mergeCell ref="A8:D8"/>
    <mergeCell ref="A9:D9"/>
    <mergeCell ref="A11:A12"/>
    <mergeCell ref="B11:B12"/>
    <mergeCell ref="C11:D11"/>
    <mergeCell ref="A14:A19"/>
    <mergeCell ref="I17:I18"/>
    <mergeCell ref="A20:A25"/>
    <mergeCell ref="A26:A28"/>
    <mergeCell ref="A33:A35"/>
    <mergeCell ref="A40:A45"/>
    <mergeCell ref="B41:B42"/>
    <mergeCell ref="C41:C42"/>
    <mergeCell ref="D41:D42"/>
    <mergeCell ref="A47:A51"/>
    <mergeCell ref="A52:A54"/>
    <mergeCell ref="A55:A59"/>
    <mergeCell ref="A60:A61"/>
    <mergeCell ref="A62:A64"/>
    <mergeCell ref="B63:B64"/>
    <mergeCell ref="C63:C64"/>
    <mergeCell ref="D63:D64"/>
    <mergeCell ref="A69:A73"/>
    <mergeCell ref="A74:A77"/>
    <mergeCell ref="A107:A108"/>
    <mergeCell ref="A111:A112"/>
    <mergeCell ref="A114:A115"/>
    <mergeCell ref="A117:A118"/>
    <mergeCell ref="A123:A126"/>
    <mergeCell ref="A127:A128"/>
    <mergeCell ref="A129:A133"/>
    <mergeCell ref="A151:A153"/>
    <mergeCell ref="A155:A158"/>
    <mergeCell ref="A163:A166"/>
    <mergeCell ref="A149:A150"/>
    <mergeCell ref="A169:A173"/>
    <mergeCell ref="A186:A187"/>
    <mergeCell ref="A189:A190"/>
    <mergeCell ref="A191:A193"/>
    <mergeCell ref="A194:A195"/>
    <mergeCell ref="A196:A200"/>
    <mergeCell ref="A205:A209"/>
    <mergeCell ref="A210:A214"/>
    <mergeCell ref="A239:A242"/>
    <mergeCell ref="A244:A248"/>
    <mergeCell ref="A253:A255"/>
    <mergeCell ref="A256:A258"/>
    <mergeCell ref="A259:A262"/>
    <mergeCell ref="A265:A267"/>
    <mergeCell ref="A273:A276"/>
    <mergeCell ref="A277:A280"/>
    <mergeCell ref="A289:A291"/>
    <mergeCell ref="A294:A297"/>
    <mergeCell ref="A301:A302"/>
    <mergeCell ref="A305:A307"/>
    <mergeCell ref="B306:B307"/>
    <mergeCell ref="C306:C307"/>
    <mergeCell ref="D306:D307"/>
    <mergeCell ref="A312:A314"/>
    <mergeCell ref="A317:A319"/>
    <mergeCell ref="A322:A323"/>
    <mergeCell ref="A324:A325"/>
    <mergeCell ref="A327:A329"/>
    <mergeCell ref="A333:A336"/>
    <mergeCell ref="A341:A342"/>
    <mergeCell ref="A343:A344"/>
    <mergeCell ref="A345:A347"/>
    <mergeCell ref="A350:A351"/>
    <mergeCell ref="A352:A355"/>
    <mergeCell ref="A369:A371"/>
    <mergeCell ref="A373:A375"/>
    <mergeCell ref="A378:A383"/>
    <mergeCell ref="A387:A389"/>
    <mergeCell ref="A391:A393"/>
    <mergeCell ref="A394:A395"/>
    <mergeCell ref="A397:A401"/>
    <mergeCell ref="A402:A404"/>
    <mergeCell ref="A405:A407"/>
    <mergeCell ref="A415:A421"/>
    <mergeCell ref="B416:B417"/>
    <mergeCell ref="C416:C417"/>
    <mergeCell ref="D416:D417"/>
    <mergeCell ref="A424:A428"/>
    <mergeCell ref="A440:A442"/>
    <mergeCell ref="B441:B442"/>
    <mergeCell ref="C441:C442"/>
    <mergeCell ref="D441:D442"/>
    <mergeCell ref="A429:A431"/>
    <mergeCell ref="A432:A434"/>
    <mergeCell ref="A435:A437"/>
    <mergeCell ref="B436:B437"/>
    <mergeCell ref="C436:C437"/>
    <mergeCell ref="D436:D4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2022-01-20T09:20:10Z</cp:lastPrinted>
  <dcterms:created xsi:type="dcterms:W3CDTF">2016-01-26T08:33:44Z</dcterms:created>
  <dcterms:modified xsi:type="dcterms:W3CDTF">2022-06-16T05:35:41Z</dcterms:modified>
  <cp:category/>
  <cp:version/>
  <cp:contentType/>
  <cp:contentStatus/>
</cp:coreProperties>
</file>